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laniekimwedgbury/Dropbox/GE Public Relations/adsi design/Standards Development/Version 2.0/Flanders/v1.2/"/>
    </mc:Choice>
  </mc:AlternateContent>
  <xr:revisionPtr revIDLastSave="0" documentId="13_ncr:1_{FA10FC21-304B-4743-950D-8331DDBC0625}" xr6:coauthVersionLast="47" xr6:coauthVersionMax="47" xr10:uidLastSave="{00000000-0000-0000-0000-000000000000}"/>
  <bookViews>
    <workbookView xWindow="0" yWindow="500" windowWidth="28800" windowHeight="16480" xr2:uid="{00000000-000D-0000-FFFF-FFFF00000000}"/>
  </bookViews>
  <sheets>
    <sheet name="Biomass Report" sheetId="12" r:id="rId1"/>
    <sheet name="BASIC DATA" sheetId="9" r:id="rId2"/>
    <sheet name="ENERGY" sheetId="11" r:id="rId3"/>
    <sheet name="GHG" sheetId="3" r:id="rId4"/>
    <sheet name="Electricity" sheetId="13" r:id="rId5"/>
  </sheets>
  <definedNames>
    <definedName name="LHV_fuel" localSheetId="1">'BASIC DATA'!#REF!</definedName>
    <definedName name="LHV_fuel">#REF!</definedName>
    <definedName name="_xlnm.Print_Area" localSheetId="1">'BASIC DATA'!$A$3:$F$96</definedName>
    <definedName name="_xlnm.Print_Area" localSheetId="0">'Biomass Report'!$A$1:$D$82</definedName>
    <definedName name="_xlnm.Print_Area" localSheetId="2">ENERGY!$A$1:$D$55</definedName>
    <definedName name="_xlnm.Print_Area" localSheetId="3">GHG!$A$1:$E$126</definedName>
    <definedName name="train" localSheetId="1">'BASIC DATA'!#REF!</definedName>
    <definedName name="trai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2" l="1"/>
  <c r="B94" i="3"/>
  <c r="B54" i="12" l="1"/>
  <c r="B53" i="12"/>
  <c r="C27" i="3"/>
  <c r="D123" i="3" l="1"/>
  <c r="F61" i="3"/>
  <c r="F62" i="3"/>
  <c r="F63" i="3"/>
  <c r="F64" i="3"/>
  <c r="F60" i="3"/>
  <c r="C118" i="3" s="1"/>
  <c r="C123" i="3"/>
  <c r="C132" i="3" l="1"/>
  <c r="C131" i="3"/>
  <c r="C130" i="3"/>
  <c r="C129" i="3"/>
  <c r="C128" i="3"/>
  <c r="C28" i="3" l="1"/>
  <c r="C68" i="3" s="1"/>
  <c r="B36" i="12" s="1"/>
  <c r="G77" i="3"/>
  <c r="E4" i="9" s="1"/>
  <c r="E25" i="9"/>
  <c r="C67" i="3" l="1"/>
  <c r="B109" i="3" l="1"/>
  <c r="B102" i="3" l="1"/>
  <c r="D37" i="11"/>
  <c r="E70" i="9" l="1"/>
  <c r="E69" i="9"/>
  <c r="E68" i="9"/>
  <c r="E60" i="9"/>
  <c r="E59" i="9"/>
  <c r="E51" i="9"/>
  <c r="E50" i="9"/>
  <c r="E49" i="9"/>
  <c r="E41" i="9"/>
  <c r="E36" i="9"/>
  <c r="E30" i="9"/>
  <c r="E29" i="9"/>
  <c r="E77" i="3" l="1"/>
  <c r="E78" i="3" s="1"/>
  <c r="E79" i="3" s="1"/>
  <c r="D77" i="3"/>
  <c r="E7" i="9" s="1"/>
  <c r="C115" i="3" l="1"/>
  <c r="C26" i="3"/>
  <c r="B38" i="12"/>
  <c r="B37" i="12"/>
  <c r="B99" i="3" l="1"/>
  <c r="B100" i="3"/>
  <c r="B101" i="3"/>
  <c r="B110" i="3"/>
  <c r="B108" i="3"/>
  <c r="B107" i="3"/>
  <c r="B106" i="3"/>
  <c r="E95" i="9"/>
  <c r="E6" i="9"/>
  <c r="E94" i="9" l="1"/>
  <c r="C110" i="3" s="1"/>
  <c r="D110" i="3" s="1"/>
  <c r="C43" i="3"/>
  <c r="E72" i="9" s="1"/>
  <c r="E11" i="9"/>
  <c r="B91" i="3"/>
  <c r="C91" i="3" s="1"/>
  <c r="B83" i="3"/>
  <c r="B84" i="3"/>
  <c r="B82" i="3"/>
  <c r="E49" i="3"/>
  <c r="E48" i="3"/>
  <c r="E47" i="3"/>
  <c r="E51" i="3"/>
  <c r="C38" i="3"/>
  <c r="C37" i="3"/>
  <c r="E12" i="9" l="1"/>
  <c r="C101" i="3"/>
  <c r="D101" i="3" s="1"/>
  <c r="D88" i="3" l="1"/>
  <c r="C88" i="3" s="1"/>
  <c r="E43" i="9" l="1"/>
  <c r="E44" i="9" s="1"/>
  <c r="E71" i="9"/>
  <c r="E52" i="9"/>
  <c r="E37" i="9"/>
  <c r="E62" i="9"/>
  <c r="E61" i="9"/>
  <c r="E32" i="9"/>
  <c r="E31" i="9"/>
  <c r="C42" i="3"/>
  <c r="E73" i="9" s="1"/>
  <c r="E53" i="9"/>
  <c r="E54" i="9"/>
  <c r="E55" i="9" l="1"/>
  <c r="E33" i="9"/>
  <c r="E74" i="9"/>
  <c r="C25" i="11" s="1"/>
  <c r="E38" i="9"/>
  <c r="C21" i="11" s="1"/>
  <c r="E63" i="9"/>
  <c r="C24" i="11" s="1"/>
  <c r="C23" i="11" l="1"/>
  <c r="C20" i="11"/>
  <c r="C22" i="11"/>
  <c r="C19" i="11" l="1"/>
  <c r="C41" i="11" s="1"/>
  <c r="B22" i="12" l="1"/>
  <c r="C94" i="3"/>
  <c r="E84" i="9" l="1"/>
  <c r="C109" i="3" s="1"/>
  <c r="D109" i="3" s="1"/>
  <c r="E96" i="9"/>
  <c r="E87" i="9"/>
  <c r="C107" i="3" s="1"/>
  <c r="D107" i="3" s="1"/>
  <c r="E81" i="9"/>
  <c r="C108" i="3" s="1"/>
  <c r="D108" i="3" s="1"/>
  <c r="E17" i="9"/>
  <c r="E14" i="9"/>
  <c r="E78" i="9"/>
  <c r="E8" i="9"/>
  <c r="E79" i="9" l="1"/>
  <c r="C106" i="3"/>
  <c r="E15" i="9"/>
  <c r="C15" i="11" s="1"/>
  <c r="C102" i="3"/>
  <c r="D102" i="3" s="1"/>
  <c r="E18" i="9"/>
  <c r="C6" i="11" s="1"/>
  <c r="C100" i="3"/>
  <c r="D100" i="3" s="1"/>
  <c r="E9" i="9"/>
  <c r="C99" i="3"/>
  <c r="D99" i="3" s="1"/>
  <c r="C34" i="11"/>
  <c r="E88" i="9"/>
  <c r="C31" i="11" s="1"/>
  <c r="E85" i="9"/>
  <c r="C30" i="11" s="1"/>
  <c r="E82" i="9"/>
  <c r="C29" i="11" s="1"/>
  <c r="C5" i="11"/>
  <c r="C111" i="3" l="1"/>
  <c r="D111" i="3" s="1"/>
  <c r="D106" i="3"/>
  <c r="E21" i="9"/>
  <c r="C28" i="11"/>
  <c r="B93" i="3"/>
  <c r="C93" i="3" s="1"/>
  <c r="B92" i="3"/>
  <c r="C92" i="3" s="1"/>
  <c r="C11" i="11" l="1"/>
  <c r="C16" i="11" l="1"/>
  <c r="C104" i="3"/>
  <c r="D112" i="3" l="1"/>
  <c r="D104" i="3"/>
  <c r="C112" i="3"/>
  <c r="F74" i="3"/>
  <c r="F73" i="3"/>
  <c r="F71" i="3"/>
  <c r="F75" i="3"/>
  <c r="F79" i="3"/>
  <c r="F76" i="3"/>
  <c r="F72" i="3"/>
  <c r="D85" i="3" l="1"/>
  <c r="C85" i="3" s="1"/>
  <c r="C4" i="11"/>
  <c r="C9" i="11" s="1"/>
  <c r="C12" i="11" l="1"/>
  <c r="C42" i="11" s="1"/>
  <c r="C43" i="11" s="1"/>
  <c r="B23" i="12" l="1"/>
  <c r="C95" i="3" l="1"/>
  <c r="D95" i="3" l="1"/>
  <c r="D118" i="3"/>
  <c r="D132" i="3" s="1"/>
  <c r="D129" i="3" l="1"/>
  <c r="D130" i="3"/>
  <c r="D128" i="3"/>
  <c r="D1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tc={CC10B61A-51AD-4525-8FDD-09A73A883D67}</author>
  </authors>
  <commentList>
    <comment ref="B6" authorId="0" shapeId="0" xr:uid="{CC10B61A-51AD-4525-8FDD-09A73A883D67}">
      <text>
        <t>[Threaded comment]
Your version of Excel allows you to read this threaded comment; however, any edits to it will get removed if the file is opened in a newer version of Excel. Learn more: https://go.microsoft.com/fwlink/?linkid=870924
Comment:
    Automatic calculation from cells E6 &amp; E7</t>
      </text>
    </comment>
  </commentList>
</comments>
</file>

<file path=xl/sharedStrings.xml><?xml version="1.0" encoding="utf-8"?>
<sst xmlns="http://schemas.openxmlformats.org/spreadsheetml/2006/main" count="688" uniqueCount="457">
  <si>
    <t>RAW MATERIAL TRANSPORT</t>
  </si>
  <si>
    <t>Road transport by diesel trucks</t>
  </si>
  <si>
    <t>km</t>
  </si>
  <si>
    <t>RRT</t>
  </si>
  <si>
    <t>Diesel trains</t>
  </si>
  <si>
    <t>RDT</t>
  </si>
  <si>
    <t>River flatboats</t>
  </si>
  <si>
    <t>RRB</t>
  </si>
  <si>
    <t>SUBTOTAL AND CONVERSION RATE</t>
  </si>
  <si>
    <t>Conversion rate (ton finished product / ton raw material)</t>
  </si>
  <si>
    <t>CR</t>
  </si>
  <si>
    <t>PRODUCTION</t>
  </si>
  <si>
    <r>
      <t xml:space="preserve">Average </t>
    </r>
    <r>
      <rPr>
        <b/>
        <sz val="12"/>
        <rFont val="Times New Roman"/>
        <family val="1"/>
      </rPr>
      <t>electricity</t>
    </r>
    <r>
      <rPr>
        <sz val="12"/>
        <rFont val="Times New Roman"/>
        <family val="1"/>
      </rPr>
      <t xml:space="preserve"> consumption needed for making the biomass (whatever the origin of the elctricity)</t>
    </r>
  </si>
  <si>
    <r>
      <t xml:space="preserve">Average </t>
    </r>
    <r>
      <rPr>
        <b/>
        <sz val="12"/>
        <rFont val="Times New Roman"/>
        <family val="1"/>
      </rPr>
      <t>primary fossil energy</t>
    </r>
    <r>
      <rPr>
        <sz val="12"/>
        <rFont val="Times New Roman"/>
        <family val="1"/>
      </rPr>
      <t xml:space="preserve"> used for making the final biomass product (thus excluding biomass &amp; renewable sources)</t>
    </r>
  </si>
  <si>
    <t>D</t>
  </si>
  <si>
    <t>FINISHED PRODUCT : INLAND TRANSPORT</t>
  </si>
  <si>
    <t>PRT</t>
  </si>
  <si>
    <t>PDT</t>
  </si>
  <si>
    <t>Electric trains</t>
  </si>
  <si>
    <t>PET</t>
  </si>
  <si>
    <t>PRB</t>
  </si>
  <si>
    <t>INTERNATIONAL SEA/RIVER TRANSPORT</t>
  </si>
  <si>
    <t>PI</t>
  </si>
  <si>
    <t>TOTAL</t>
  </si>
  <si>
    <t>RT</t>
  </si>
  <si>
    <t>RT'</t>
  </si>
  <si>
    <t>propane</t>
  </si>
  <si>
    <t>initial moisture raw material (wet basis)</t>
  </si>
  <si>
    <t>Moisture contents of raw material</t>
  </si>
  <si>
    <t>MJ/litre</t>
  </si>
  <si>
    <t>MJ/kg</t>
  </si>
  <si>
    <t>mt</t>
  </si>
  <si>
    <t>diesel</t>
  </si>
  <si>
    <t>non CO2 emissions at power plant</t>
  </si>
  <si>
    <t>natural gas</t>
  </si>
  <si>
    <t>HFO</t>
  </si>
  <si>
    <t>%</t>
  </si>
  <si>
    <t>chips</t>
  </si>
  <si>
    <t>average</t>
  </si>
  <si>
    <t>TOTAL GHG emissions</t>
  </si>
  <si>
    <t>Road transport by trucks</t>
  </si>
  <si>
    <t xml:space="preserve"> </t>
  </si>
  <si>
    <t>default value gCO2/MJ</t>
  </si>
  <si>
    <t>JRC</t>
  </si>
  <si>
    <t>MJ/t.km</t>
  </si>
  <si>
    <t>Units</t>
  </si>
  <si>
    <t>propane gas</t>
  </si>
  <si>
    <t>propane liquid</t>
  </si>
  <si>
    <t>Fuel type</t>
  </si>
  <si>
    <t>Energy</t>
  </si>
  <si>
    <r>
      <t>gCO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/MJ</t>
    </r>
  </si>
  <si>
    <r>
      <t>MJ/Nm</t>
    </r>
    <r>
      <rPr>
        <vertAlign val="superscript"/>
        <sz val="10"/>
        <color rgb="FF000000"/>
        <rFont val="Arial"/>
        <family val="2"/>
      </rPr>
      <t>3</t>
    </r>
  </si>
  <si>
    <t>MJ/tonne</t>
  </si>
  <si>
    <r>
      <t>gCO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/t.km</t>
    </r>
  </si>
  <si>
    <t>diesel train</t>
  </si>
  <si>
    <t>electric train</t>
  </si>
  <si>
    <t>power</t>
  </si>
  <si>
    <t>truck</t>
  </si>
  <si>
    <t>Energy 'L'</t>
  </si>
  <si>
    <r>
      <t>GHG 'C' gCO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/MJ</t>
    </r>
  </si>
  <si>
    <t>GHG 'C' factor</t>
  </si>
  <si>
    <t>GHG 'F' intensity</t>
  </si>
  <si>
    <t>gasoline</t>
  </si>
  <si>
    <t>JRC data per fuel type</t>
  </si>
  <si>
    <t>JRC data per transport type</t>
  </si>
  <si>
    <t>distance</t>
  </si>
  <si>
    <t xml:space="preserve">Electricity use for production </t>
  </si>
  <si>
    <t>RET</t>
  </si>
  <si>
    <r>
      <t>Cultivation gCO</t>
    </r>
    <r>
      <rPr>
        <vertAlign val="subscript"/>
        <sz val="10"/>
        <color rgb="FF000000"/>
        <rFont val="Arial"/>
        <family val="2"/>
      </rPr>
      <t>2eq</t>
    </r>
    <r>
      <rPr>
        <sz val="10"/>
        <color rgb="FF000000"/>
        <rFont val="Arial"/>
        <family val="2"/>
      </rPr>
      <t>/MJ</t>
    </r>
  </si>
  <si>
    <r>
      <t>Non CO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gCO</t>
    </r>
    <r>
      <rPr>
        <vertAlign val="subscript"/>
        <sz val="10"/>
        <color rgb="FF000000"/>
        <rFont val="Arial"/>
        <family val="2"/>
      </rPr>
      <t>2eq</t>
    </r>
    <r>
      <rPr>
        <sz val="10"/>
        <color rgb="FF000000"/>
        <rFont val="Arial"/>
        <family val="2"/>
      </rPr>
      <t>/MJ</t>
    </r>
  </si>
  <si>
    <t>Wood briquettes or pellets from forest residues</t>
  </si>
  <si>
    <t>Wood briquettes or pellets from stemwood</t>
  </si>
  <si>
    <t>Wood briquettes or pellets from wood industry residues</t>
  </si>
  <si>
    <t>Cultivation</t>
  </si>
  <si>
    <t>Processing</t>
  </si>
  <si>
    <t>Transport on less than 500 km</t>
  </si>
  <si>
    <r>
      <t>Non CO</t>
    </r>
    <r>
      <rPr>
        <vertAlign val="subscript"/>
        <sz val="10"/>
        <color rgb="FF000000"/>
        <rFont val="Arial"/>
        <family val="2"/>
      </rPr>
      <t>2</t>
    </r>
  </si>
  <si>
    <r>
      <t>gCO</t>
    </r>
    <r>
      <rPr>
        <vertAlign val="subscript"/>
        <sz val="10"/>
        <color rgb="FF000000"/>
        <rFont val="Arial"/>
        <family val="2"/>
      </rPr>
      <t>2eq</t>
    </r>
    <r>
      <rPr>
        <sz val="10"/>
        <color rgb="FF000000"/>
        <rFont val="Arial"/>
        <family val="2"/>
      </rPr>
      <t>/MJ</t>
    </r>
  </si>
  <si>
    <t>Wood chips from forest residues</t>
  </si>
  <si>
    <t>Wood chips from stemwood</t>
  </si>
  <si>
    <t>Proportion feedstock</t>
  </si>
  <si>
    <t>total harvesting</t>
  </si>
  <si>
    <t>TRANSPORT OF RAW MATERIAL</t>
  </si>
  <si>
    <t>RDT (JRC)</t>
  </si>
  <si>
    <t>PET (JRC)</t>
  </si>
  <si>
    <t>RRB (JRC)</t>
  </si>
  <si>
    <t>PRT (JRC)</t>
  </si>
  <si>
    <t>PDT (JRC)</t>
  </si>
  <si>
    <t>PRB (JRC)</t>
  </si>
  <si>
    <t>PI (JRC)</t>
  </si>
  <si>
    <t>RRT (JRC)</t>
  </si>
  <si>
    <t>USA05</t>
  </si>
  <si>
    <t>LPG</t>
  </si>
  <si>
    <t>Required information</t>
  </si>
  <si>
    <t>Format</t>
  </si>
  <si>
    <t>Origin of information</t>
  </si>
  <si>
    <t>Certificate number</t>
  </si>
  <si>
    <t>SAR</t>
  </si>
  <si>
    <t>2. Production chain identification</t>
  </si>
  <si>
    <t>Characteristic 3. Energetic valorisation</t>
  </si>
  <si>
    <t>Characteristic 4. Green factor</t>
  </si>
  <si>
    <t>5. Sustainability criteria</t>
  </si>
  <si>
    <t>Remark</t>
  </si>
  <si>
    <t>END-USER</t>
  </si>
  <si>
    <t>Rodenhuize 2019-20.1.xlsx)</t>
  </si>
  <si>
    <t>BIOMASS REPORT</t>
  </si>
  <si>
    <t>Reference code</t>
  </si>
  <si>
    <t>Date of assignment</t>
  </si>
  <si>
    <t>1. Biomass producer</t>
  </si>
  <si>
    <t>Company name and legal form</t>
  </si>
  <si>
    <t>Company number</t>
  </si>
  <si>
    <t>Street and house number/part</t>
  </si>
  <si>
    <t>Postcode and Town/City</t>
  </si>
  <si>
    <t>Country</t>
  </si>
  <si>
    <t>Person responsible: First name and name</t>
  </si>
  <si>
    <t>Person responsible: phone number</t>
  </si>
  <si>
    <t>Person responsible: e-mail</t>
  </si>
  <si>
    <t>Data</t>
  </si>
  <si>
    <t>Header of the Biomass Report</t>
  </si>
  <si>
    <t>-</t>
  </si>
  <si>
    <t>Summary of the different biomass forms and processing steps from the harvest or generation of the waste until final use</t>
  </si>
  <si>
    <t>End-user</t>
  </si>
  <si>
    <t>Unique identification of the power plant where the final consumption takes place, including its name and address</t>
  </si>
  <si>
    <t>Calculation sheet 'Energy (ID6B)'</t>
  </si>
  <si>
    <t>ID6B</t>
  </si>
  <si>
    <t>3. Advice from OVAM</t>
  </si>
  <si>
    <t>4. Identification of biomass</t>
  </si>
  <si>
    <t>Characteristic 5. Short rotation coppice</t>
  </si>
  <si>
    <t>Characteristic 6. Wood that is not an industrial raw material</t>
  </si>
  <si>
    <t>Characteristic 7. GHG reduction bioliquids</t>
  </si>
  <si>
    <t>Characteristic 12. Water and forest</t>
  </si>
  <si>
    <t>Characteristic 14. Sustainable forest management</t>
  </si>
  <si>
    <t>Characteristic 15. Soil quality</t>
  </si>
  <si>
    <t>Footer of the Biomass Report</t>
  </si>
  <si>
    <t xml:space="preserve">Issued by: </t>
  </si>
  <si>
    <t>Person responsible:</t>
  </si>
  <si>
    <t>First name and name</t>
  </si>
  <si>
    <t>phone number</t>
  </si>
  <si>
    <t>e-mail</t>
  </si>
  <si>
    <t>Bulk carriers</t>
  </si>
  <si>
    <t>Motivation and explanatory notes: add any necessary comment to justify the statements on compliance, non applicability or any other relevant part.</t>
  </si>
  <si>
    <t>kg/Nm³ (1.013 bar, 15°C)</t>
  </si>
  <si>
    <t>Propane</t>
  </si>
  <si>
    <t>P1</t>
  </si>
  <si>
    <t>kg</t>
  </si>
  <si>
    <t>LPG gas</t>
  </si>
  <si>
    <t>MJ/Nm³</t>
  </si>
  <si>
    <t>kg/m³</t>
  </si>
  <si>
    <t>Density (SBP ID6B)</t>
  </si>
  <si>
    <t>butane</t>
  </si>
  <si>
    <t>butane liquid</t>
  </si>
  <si>
    <t>butane gas</t>
  </si>
  <si>
    <t>Diesel</t>
  </si>
  <si>
    <t>V2a</t>
  </si>
  <si>
    <t>V2b</t>
  </si>
  <si>
    <t>litre</t>
  </si>
  <si>
    <t>LHV (L2a)</t>
  </si>
  <si>
    <t>LHV (L2b)</t>
  </si>
  <si>
    <t>P2</t>
  </si>
  <si>
    <t>PV2a</t>
  </si>
  <si>
    <t>PV2b</t>
  </si>
  <si>
    <t>P3</t>
  </si>
  <si>
    <t>Nm³</t>
  </si>
  <si>
    <t>kWhp/tonne raw material</t>
  </si>
  <si>
    <t>Natural gas</t>
  </si>
  <si>
    <t>Gasoline</t>
  </si>
  <si>
    <t>P6</t>
  </si>
  <si>
    <t>V7</t>
  </si>
  <si>
    <t>V7a</t>
  </si>
  <si>
    <t>V7b</t>
  </si>
  <si>
    <t>PV7a</t>
  </si>
  <si>
    <t>PV7b</t>
  </si>
  <si>
    <t>kg/tonne pellet (calculated, but may be filled in directly)</t>
  </si>
  <si>
    <t>litre/tonne pellet (calculated, but may be filled in directly)</t>
  </si>
  <si>
    <t>Nm³/tonne pellet (calculated, but may be filled in directly)</t>
  </si>
  <si>
    <t>litre/tonne pellets (calculated, but may be filled in directly)</t>
  </si>
  <si>
    <t>Nm³ (gas)</t>
  </si>
  <si>
    <t>LHV (L7)</t>
  </si>
  <si>
    <t>LHV (L7a)</t>
  </si>
  <si>
    <t>LHV (L7b)</t>
  </si>
  <si>
    <t>litre (liquid)</t>
  </si>
  <si>
    <t>P4</t>
  </si>
  <si>
    <t>LHV (L4)</t>
  </si>
  <si>
    <t>PV4</t>
  </si>
  <si>
    <t>V4</t>
  </si>
  <si>
    <t>Nm³ / tonne pellets  (calculated, but may be filled in directly)</t>
  </si>
  <si>
    <t>PV4'</t>
  </si>
  <si>
    <t>MJ / tonne pellets (as reported in SAR)</t>
  </si>
  <si>
    <t>MJ/Nm³ (standard value or as measured)</t>
  </si>
  <si>
    <t>E5</t>
  </si>
  <si>
    <t>E3</t>
  </si>
  <si>
    <t>E4</t>
  </si>
  <si>
    <t>E2</t>
  </si>
  <si>
    <t>K1</t>
  </si>
  <si>
    <t>RET (JRC)</t>
  </si>
  <si>
    <t>RT (JRC)</t>
  </si>
  <si>
    <t>IMwet</t>
  </si>
  <si>
    <t>FMwet</t>
  </si>
  <si>
    <t>K2</t>
  </si>
  <si>
    <t>sea vessel</t>
  </si>
  <si>
    <t>bulk carrier</t>
  </si>
  <si>
    <t>number of nautical miles</t>
  </si>
  <si>
    <t>Sea vessels</t>
  </si>
  <si>
    <t>Sea vessel</t>
  </si>
  <si>
    <t>Port of departure</t>
  </si>
  <si>
    <t>Port of arrival</t>
  </si>
  <si>
    <t>Distance</t>
  </si>
  <si>
    <t>D'</t>
  </si>
  <si>
    <t>number of km</t>
  </si>
  <si>
    <t>Conversion rate (tonne finished product / tonne raw material)</t>
  </si>
  <si>
    <t>kWhe/tonne raw material</t>
  </si>
  <si>
    <t>RAW MATERIAL TRANSPORT (FOSSIL)</t>
  </si>
  <si>
    <t>RAW MATERIAL TRANSPORT (ELECTRIC)</t>
  </si>
  <si>
    <t>RET'</t>
  </si>
  <si>
    <t>Sum fossile energy consumption for raw material transportation and preparation</t>
  </si>
  <si>
    <t>Sum fossile energy consumption for raw material transportation</t>
  </si>
  <si>
    <t>Diesel - P2</t>
  </si>
  <si>
    <t>Natural gas - P4</t>
  </si>
  <si>
    <t>Electric trains (converted to finished product)</t>
  </si>
  <si>
    <t>Name of the issuer</t>
  </si>
  <si>
    <t>Date of calculation</t>
  </si>
  <si>
    <t>eec</t>
  </si>
  <si>
    <t>el</t>
  </si>
  <si>
    <t>etd (lines can be added)</t>
  </si>
  <si>
    <t>ep (lines can be added)</t>
  </si>
  <si>
    <t>eu</t>
  </si>
  <si>
    <t>emisions related to land use change</t>
  </si>
  <si>
    <t>Comparator for electricity from biomass</t>
  </si>
  <si>
    <t>GHG savings</t>
  </si>
  <si>
    <t>CH = Certificate Holder, CB = Certification Body</t>
  </si>
  <si>
    <t xml:space="preserve">1° The usual name for the biomass stream: </t>
  </si>
  <si>
    <t xml:space="preserve">2° The commercial name used in contracts and on invoices and delivery notes: </t>
  </si>
  <si>
    <t>3° CN-code</t>
  </si>
  <si>
    <t>4° The morphology or form (liquid, solid or gaseous) for end-use</t>
  </si>
  <si>
    <t>Identification of the biomass</t>
  </si>
  <si>
    <t>Column1</t>
  </si>
  <si>
    <t>Column2</t>
  </si>
  <si>
    <t>Column3</t>
  </si>
  <si>
    <t>Column4</t>
  </si>
  <si>
    <t>V3</t>
  </si>
  <si>
    <t>PV3</t>
  </si>
  <si>
    <t>LHV (L3)</t>
  </si>
  <si>
    <t>V5</t>
  </si>
  <si>
    <t>V5a</t>
  </si>
  <si>
    <t>V5b</t>
  </si>
  <si>
    <t>PV5</t>
  </si>
  <si>
    <t>PV5a</t>
  </si>
  <si>
    <t>PV5b</t>
  </si>
  <si>
    <t>LHV (L5)</t>
  </si>
  <si>
    <t>LHV (L5a)</t>
  </si>
  <si>
    <t>LHV (L5b)</t>
  </si>
  <si>
    <t>P5</t>
  </si>
  <si>
    <t>V6a</t>
  </si>
  <si>
    <t>V6b</t>
  </si>
  <si>
    <t>PV6a</t>
  </si>
  <si>
    <t>PV6b</t>
  </si>
  <si>
    <t>LHV (L6a)</t>
  </si>
  <si>
    <t>LHV (L6b)</t>
  </si>
  <si>
    <t>Gasoline - P3</t>
  </si>
  <si>
    <t>Propane - P5</t>
  </si>
  <si>
    <t>LPG - P6</t>
  </si>
  <si>
    <t>Butane - P7</t>
  </si>
  <si>
    <t>tonne finished product / tonne raw material</t>
  </si>
  <si>
    <t>6° LHV on a wet basis in kWh/kg and</t>
  </si>
  <si>
    <t>Measured data per fuel type</t>
  </si>
  <si>
    <t>Scheme: ID</t>
  </si>
  <si>
    <t>Code: Scheme code</t>
  </si>
  <si>
    <t xml:space="preserve">Bonus land recovery: applied [yes/no] </t>
  </si>
  <si>
    <t>Soil carbon: applied [yes/no]</t>
  </si>
  <si>
    <t>P7</t>
  </si>
  <si>
    <t>K6</t>
  </si>
  <si>
    <t>K4</t>
  </si>
  <si>
    <t>K8</t>
  </si>
  <si>
    <t>E1</t>
  </si>
  <si>
    <t>K3</t>
  </si>
  <si>
    <t>K5</t>
  </si>
  <si>
    <t>K7</t>
  </si>
  <si>
    <t xml:space="preserve"> = RRT + RDT + RRB</t>
  </si>
  <si>
    <t>P1 ( E )</t>
  </si>
  <si>
    <t>Etrp,spec,j</t>
  </si>
  <si>
    <t>Evb,ex,spec,j</t>
  </si>
  <si>
    <t>See sheet 'Power Data'</t>
  </si>
  <si>
    <t>Feedstock type for biomass production</t>
  </si>
  <si>
    <t>Origin</t>
  </si>
  <si>
    <t>Physical Description</t>
  </si>
  <si>
    <t>Final harvest from (semi-)natural forests</t>
  </si>
  <si>
    <t>Low grade stemwood (byproduct)</t>
  </si>
  <si>
    <t>roundwood</t>
  </si>
  <si>
    <t>Thinning from (semi-)natural forests</t>
  </si>
  <si>
    <t>Processing residues</t>
  </si>
  <si>
    <t>Sawmill and wood industry residues</t>
  </si>
  <si>
    <t>sawdust</t>
  </si>
  <si>
    <t>F4 = 0,21 * CP</t>
  </si>
  <si>
    <t>Feedstock</t>
  </si>
  <si>
    <t>Biomass</t>
  </si>
  <si>
    <t>ef</t>
  </si>
  <si>
    <t>ef,5 - Diesel trucks</t>
  </si>
  <si>
    <t>ef,2 - Bulk carriers</t>
  </si>
  <si>
    <t>ef,3 - diesel trains</t>
  </si>
  <si>
    <t>ef,4 - electric trains</t>
  </si>
  <si>
    <t>et,5 - Diesel trucks</t>
  </si>
  <si>
    <t>et,2 - Bulk carriers</t>
  </si>
  <si>
    <t>et,3 - diesel trains</t>
  </si>
  <si>
    <t>et,4 - electric trains</t>
  </si>
  <si>
    <t>et,1 - Marine transport</t>
  </si>
  <si>
    <t>et</t>
  </si>
  <si>
    <t xml:space="preserve">     Moisture content on a wet basis in %</t>
  </si>
  <si>
    <t>motivation and explanatory notes</t>
  </si>
  <si>
    <t>Motivation and explanatory notes</t>
  </si>
  <si>
    <t>this date is structured as [dd mm yyyy] and is the date of the last audit of the SAR used to complete the Biomass Report</t>
  </si>
  <si>
    <t>Other</t>
  </si>
  <si>
    <t>Compliance (yes/no) or non-applicability (n/a)</t>
  </si>
  <si>
    <t>To harbor</t>
  </si>
  <si>
    <t>CH</t>
  </si>
  <si>
    <t>n/a</t>
  </si>
  <si>
    <t>SOLID</t>
  </si>
  <si>
    <t>no</t>
  </si>
  <si>
    <t>yes</t>
  </si>
  <si>
    <t>KP</t>
  </si>
  <si>
    <t>kWhe</t>
  </si>
  <si>
    <t>electricity local intensity</t>
  </si>
  <si>
    <t>Company name</t>
  </si>
  <si>
    <t>VAT number</t>
  </si>
  <si>
    <t>street, number</t>
  </si>
  <si>
    <t>Postal Code, City</t>
  </si>
  <si>
    <t>signature</t>
  </si>
  <si>
    <t>moisture %</t>
  </si>
  <si>
    <t>44013100 or 44014900</t>
  </si>
  <si>
    <t>6mm, 8mm diameter 
or
 P16-P45-P63  or n/a</t>
  </si>
  <si>
    <t>Comparator for heat from biomass</t>
  </si>
  <si>
    <t>Temperature of useful heat</t>
  </si>
  <si>
    <t>°C</t>
  </si>
  <si>
    <t>Carnot efficiency</t>
  </si>
  <si>
    <t>Emission gCO2/MJ biomass</t>
  </si>
  <si>
    <t>Comparator for CHP from biomass - electricity part</t>
  </si>
  <si>
    <t>Comparator for CHP from biomass - heat part</t>
  </si>
  <si>
    <t>Comparator for heat from biomass with reference to coal</t>
  </si>
  <si>
    <t>Fraction of exergy electricity</t>
  </si>
  <si>
    <t>g/MJ</t>
  </si>
  <si>
    <t>references</t>
  </si>
  <si>
    <t>Net heat efficiency</t>
  </si>
  <si>
    <t>Net power efficiency</t>
  </si>
  <si>
    <t>#NAME</t>
  </si>
  <si>
    <t>default</t>
  </si>
  <si>
    <t>calculated</t>
  </si>
  <si>
    <t>eec+el+ep+etd+eu</t>
  </si>
  <si>
    <t>biomass (from SAR)</t>
  </si>
  <si>
    <t>kWhp/tonne biomass</t>
  </si>
  <si>
    <t>kWhe/tonne biomass</t>
  </si>
  <si>
    <t>kWh/tonne biomasss</t>
  </si>
  <si>
    <t>Characteristic 1. Pre-treatment energy (kWh/kg biomass)</t>
  </si>
  <si>
    <t>Characteristic 2. Transport energy (kWh/kg biomass)</t>
  </si>
  <si>
    <t>wood pellets reference</t>
  </si>
  <si>
    <t>wood chips reference</t>
  </si>
  <si>
    <t>Wood chips from eucalyptus</t>
  </si>
  <si>
    <t>Wood chips from poplar, fertilised</t>
  </si>
  <si>
    <t>Wood chips from SRC poplar, non-fertilised</t>
  </si>
  <si>
    <t>share biomass</t>
  </si>
  <si>
    <t>Yearly biomass production (kg biomass/year)</t>
  </si>
  <si>
    <t>5° The size of biomass min.diameter/max. diameter/length or PSD</t>
  </si>
  <si>
    <t>n/a since wood biomasss cannot be considered to be bioliquids</t>
  </si>
  <si>
    <t>final moisture biomasss (wet basis)</t>
  </si>
  <si>
    <t>BIOMASS PRODUCTION</t>
  </si>
  <si>
    <t>gCO2/MJ biomass</t>
  </si>
  <si>
    <t>gCO2/tonne biomass</t>
  </si>
  <si>
    <t>etd gCO2/MJ biomass</t>
  </si>
  <si>
    <t>LOGO</t>
  </si>
  <si>
    <t>Greenhouse gas balance for Flanders market</t>
  </si>
  <si>
    <t>Energy balance for Flanders market</t>
  </si>
  <si>
    <t>Basic Data</t>
  </si>
  <si>
    <t>JRC for pellets</t>
  </si>
  <si>
    <t xml:space="preserve">End-user
Name and address
</t>
  </si>
  <si>
    <t>default Annex VI of RED</t>
  </si>
  <si>
    <t>Default GHG Savings</t>
  </si>
  <si>
    <t>Calculated GHG Savings</t>
  </si>
  <si>
    <t>REDII Annex VI default values for wood chips</t>
  </si>
  <si>
    <t>REDII Annex VI default values for pellets</t>
  </si>
  <si>
    <t>Reduction electricity in CHP: [##] %</t>
  </si>
  <si>
    <t>Reduction heat in CHP: [##] %</t>
  </si>
  <si>
    <t>total feedstock tonnage, %compliant</t>
  </si>
  <si>
    <t>yearly biomass production, compliant</t>
  </si>
  <si>
    <t>GHG EMISSION FACTORS ELECTRICITY</t>
  </si>
  <si>
    <t>Delegated</t>
  </si>
  <si>
    <t>ACT 2023</t>
  </si>
  <si>
    <r>
      <t>gCO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/MJ</t>
    </r>
  </si>
  <si>
    <r>
      <t>gCH</t>
    </r>
    <r>
      <rPr>
        <vertAlign val="subscript"/>
        <sz val="10"/>
        <rFont val="Verdana"/>
        <family val="2"/>
      </rPr>
      <t>4</t>
    </r>
    <r>
      <rPr>
        <sz val="10"/>
        <rFont val="Verdana"/>
        <family val="2"/>
      </rPr>
      <t>/MJ</t>
    </r>
  </si>
  <si>
    <r>
      <t>gN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>O/MJ</t>
    </r>
  </si>
  <si>
    <t>RFNBO-RCF</t>
  </si>
  <si>
    <t>Electric emission coefficients</t>
  </si>
  <si>
    <t>EU-27</t>
  </si>
  <si>
    <t>JRC mix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</si>
  <si>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</si>
  <si>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</si>
  <si>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</si>
  <si>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</si>
  <si>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</si>
  <si>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</si>
  <si>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</si>
  <si>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</si>
  <si>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</si>
  <si>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</si>
  <si>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</si>
  <si>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</si>
  <si>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</si>
  <si>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</si>
  <si>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</si>
  <si>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</si>
  <si>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</si>
  <si>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Luxemburg</t>
  </si>
  <si>
    <t>Malta</t>
  </si>
  <si>
    <t>the Netherlands</t>
  </si>
  <si>
    <t>Poland</t>
  </si>
  <si>
    <t>Portugal</t>
  </si>
  <si>
    <t>Romania</t>
  </si>
  <si>
    <t>Slovakia</t>
  </si>
  <si>
    <t>Slovenia</t>
  </si>
  <si>
    <t>Spain</t>
  </si>
  <si>
    <t>Sweden</t>
  </si>
  <si>
    <t>Carbon intensity of electricity generation, 2022 (ourworldindata.org)</t>
  </si>
  <si>
    <t>Other countries: see</t>
  </si>
  <si>
    <t>Country of Origin</t>
  </si>
  <si>
    <t>See Section 3.6. of SBP Instruction Document 6B for further detail.</t>
  </si>
  <si>
    <t>Biomass considered as waste</t>
  </si>
  <si>
    <t>[yes/no]
See section 3.6. of SBP Instruction Document 6B for further detail.</t>
  </si>
  <si>
    <t>See section 3.5.1 of SBP Instruction Document 6B for further detail.</t>
  </si>
  <si>
    <t>See section 3.5.2 of SBP Instruction Document 6B for further detail.</t>
  </si>
  <si>
    <t>yes / no</t>
  </si>
  <si>
    <t>BE-VL-BM-XXX-YYY##L</t>
  </si>
  <si>
    <t>yes or n/a</t>
  </si>
  <si>
    <t>green factor …% or n/a</t>
  </si>
  <si>
    <t>wood pellets or chipped forest residues</t>
  </si>
  <si>
    <t>n/a / yes / no</t>
  </si>
  <si>
    <t xml:space="preserve">yes  /  no  /  n/a (+ reason) </t>
  </si>
  <si>
    <t>yes  /  no  /  n/a (+ reason)</t>
  </si>
  <si>
    <t>ID6B / SAR</t>
  </si>
  <si>
    <t>GHG (ID6B), SAR</t>
  </si>
  <si>
    <t>The reference code takes the form of BE-VL-BM-[XXX]-[YYY]-[##L].
See section 3.2 of SBP Instruction Document 6B for further detail.</t>
  </si>
  <si>
    <t>The unique certificate number [0YYYYMMDDHHMM]-[##]
See section 3.2 of SBP Instruction Document 6B for further detail.</t>
  </si>
  <si>
    <t>Different pathways shall be described in case different types of raw materials are processed.
Example:
harvesting &gt; round wood &gt; logs, offcuts and barks &gt; milling, drying, pelletizing &gt; pellets
See section 3.4 of SBP Instruction Document 6B for further detail.</t>
  </si>
  <si>
    <t>See section 3.4.1 of SBP Instruction Document 6B for further detail.</t>
  </si>
  <si>
    <t>See section 3.4.2 of SBP Instruction Document 6B for further detail.</t>
  </si>
  <si>
    <t>[#,###] kg biomass/year
See section 3.6 of SBP Instruction Document 6B for further detail.</t>
  </si>
  <si>
    <t>[yes/no]
Yes if feedstock type equals “Short rotation forestry” in section “2.1. Feedstock Groups” of the SAR
See section 3.6.1 of SBP Instruction Document 6B for further detail.</t>
  </si>
  <si>
    <t>[yes/no]
See section 3.6.2 of SBP Instruction Document 6B for further detail.</t>
  </si>
  <si>
    <r>
      <t xml:space="preserve">n/a since wood biomasss cannot be considered to be bioliquids &amp; Short rotation coppice is out of scope in </t>
    </r>
    <r>
      <rPr>
        <sz val="16"/>
        <color rgb="FF00B0F0"/>
        <rFont val="Calibri"/>
        <family val="2"/>
        <scheme val="minor"/>
      </rPr>
      <t xml:space="preserve">v1.2 </t>
    </r>
    <r>
      <rPr>
        <sz val="16"/>
        <color theme="1"/>
        <rFont val="Calibri"/>
        <family val="2"/>
        <scheme val="minor"/>
      </rPr>
      <t xml:space="preserve"> of SBP ID6B</t>
    </r>
  </si>
  <si>
    <t>- before July 2023: n/a since wood biomasss cannot be considered to be bioliquids &amp; agricultural biomass is out of scope in v1.2 of SBP ID6B
- from July 2023: Compliant: n/a ; yes ; no 
See section 3.7.5. of SBP Instruction Document 6B for further detail.</t>
  </si>
  <si>
    <t>Compliant: Yes / no / n/a 
See section 3.7.6. of SBP Instruction Document 6B for further detail.</t>
  </si>
  <si>
    <t>Compliant: Yes / no / n/a 
See section 3.7.7. of SBP Instruction Document 6B for further detail.</t>
  </si>
  <si>
    <t>Compliant: Yes / no / n/a 
See section 3.7.8. of SBP Instruction Document 6B for further detail.</t>
  </si>
  <si>
    <t xml:space="preserve">Actual data: applied for part of the supply chain </t>
  </si>
  <si>
    <t>Compliant: Yes / no / n/a 
See section 3.7.9. of SBP Instruction Document 6B for further detail.</t>
  </si>
  <si>
    <t>Characteristic 8. Biodiversity bioliquids &amp; agricultural biomass</t>
  </si>
  <si>
    <t>Characteristic 9. Carbon stocks bioliquids &amp; agricultural biomass</t>
  </si>
  <si>
    <t xml:space="preserve">Characteristic 10. Peatland bioliquids &amp; agricultural biomass </t>
  </si>
  <si>
    <t xml:space="preserve">Characteristic 11. Land use </t>
  </si>
  <si>
    <r>
      <t xml:space="preserve">Characteristic 13. GHG reduction </t>
    </r>
    <r>
      <rPr>
        <strike/>
        <sz val="16"/>
        <color theme="1"/>
        <rFont val="Calibri"/>
        <family val="2"/>
        <scheme val="minor"/>
      </rPr>
      <t>(</t>
    </r>
    <r>
      <rPr>
        <sz val="16"/>
        <color theme="1"/>
        <rFont val="Calibri"/>
        <family val="2"/>
        <scheme val="minor"/>
      </rPr>
      <t>solid/gaseous biomass</t>
    </r>
    <r>
      <rPr>
        <strike/>
        <sz val="16"/>
        <color theme="1"/>
        <rFont val="Calibri"/>
        <family val="2"/>
        <scheme val="minor"/>
      </rPr>
      <t>)</t>
    </r>
  </si>
  <si>
    <r>
      <t>Biomass Report for Flanders Version 2.2 of 8 April 2026</t>
    </r>
    <r>
      <rPr>
        <strike/>
        <sz val="16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</si>
</sst>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0.0"/>
    <numFmt numFmtId="166" formatCode="0.000"/>
    <numFmt numFmtId="167" formatCode="[$-809]dd\ mmmm\ yyyy;@"/>
    <numFmt numFmtId="168" formatCode="0.0000"/>
    <numFmt numFmtId="169" formatCode="0.0%"/>
    <numFmt numFmtId="170" formatCode="_-* #,##0.000_-;\-* #,##0.000_-;_-* &quot;-&quot;??_-;_-@_-"/>
    <numFmt numFmtId="171" formatCode="dd/mm/yyyy;@"/>
  </numFmts>
  <fonts count="61" x14ac:knownFonts="1">
    <font>
      <sz val="10"/>
      <name val="Arial"/>
    </font>
    <font>
      <b/>
      <sz val="16"/>
      <color indexed="62"/>
      <name val="Arial"/>
      <family val="2"/>
    </font>
    <font>
      <sz val="12"/>
      <color indexed="62"/>
      <name val="Times New Roman"/>
      <family val="1"/>
    </font>
    <font>
      <b/>
      <sz val="12"/>
      <color indexed="62"/>
      <name val="Times New Roman"/>
      <family val="1"/>
    </font>
    <font>
      <sz val="18"/>
      <color indexed="6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6"/>
      <color indexed="62"/>
      <name val="Times New Roman"/>
      <family val="1"/>
    </font>
    <font>
      <sz val="11"/>
      <color indexed="62"/>
      <name val="Times New Roman"/>
      <family val="1"/>
    </font>
    <font>
      <b/>
      <sz val="12"/>
      <name val="Times New Roman"/>
      <family val="1"/>
    </font>
    <font>
      <sz val="14"/>
      <color indexed="62"/>
      <name val="Times New Roman"/>
      <family val="1"/>
    </font>
    <font>
      <b/>
      <sz val="14"/>
      <color indexed="62"/>
      <name val="Times New Roman"/>
      <family val="1"/>
    </font>
    <font>
      <u/>
      <sz val="10"/>
      <name val="Times New Roman"/>
      <family val="1"/>
    </font>
    <font>
      <sz val="16"/>
      <color indexed="55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i/>
      <sz val="10"/>
      <color rgb="FF5B9BD5"/>
      <name val="Arial"/>
      <family val="2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4"/>
      <name val="Calibri"/>
      <family val="2"/>
      <scheme val="minor"/>
    </font>
    <font>
      <sz val="16"/>
      <name val="Calibri"/>
      <family val="2"/>
      <scheme val="minor"/>
    </font>
    <font>
      <u/>
      <sz val="16"/>
      <color indexed="12"/>
      <name val="Arial"/>
      <family val="2"/>
    </font>
    <font>
      <sz val="16"/>
      <color theme="0"/>
      <name val="Calibri"/>
      <family val="2"/>
      <scheme val="minor"/>
    </font>
    <font>
      <sz val="11"/>
      <name val="Arial"/>
      <family val="2"/>
    </font>
    <font>
      <b/>
      <sz val="11"/>
      <color indexed="62"/>
      <name val="Times New Roman"/>
      <family val="1"/>
    </font>
    <font>
      <i/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2"/>
      <color rgb="FFFF0000"/>
      <name val="Times New Roman"/>
      <family val="1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u/>
      <sz val="14"/>
      <color indexed="12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vertAlign val="subscript"/>
      <sz val="10"/>
      <name val="Verdana"/>
      <family val="2"/>
    </font>
    <font>
      <sz val="10"/>
      <color theme="4"/>
      <name val="Verdana"/>
      <family val="2"/>
    </font>
    <font>
      <b/>
      <i/>
      <sz val="10"/>
      <name val="Verdana"/>
      <family val="2"/>
    </font>
    <font>
      <b/>
      <sz val="10"/>
      <color rgb="FF00B0F0"/>
      <name val="Verdana"/>
      <family val="2"/>
    </font>
    <font>
      <b/>
      <sz val="10"/>
      <color theme="4"/>
      <name val="Verdana"/>
      <family val="2"/>
    </font>
    <font>
      <strike/>
      <sz val="16"/>
      <color theme="1"/>
      <name val="Calibri"/>
      <family val="2"/>
      <scheme val="minor"/>
    </font>
    <font>
      <sz val="16"/>
      <color rgb="FF00B0F0"/>
      <name val="Calibri"/>
      <family val="2"/>
      <scheme val="minor"/>
    </font>
    <font>
      <strike/>
      <sz val="16"/>
      <color rgb="FFFF0000"/>
      <name val="Calibri"/>
      <family val="2"/>
      <scheme val="minor"/>
    </font>
    <font>
      <strike/>
      <sz val="1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6" fillId="0" borderId="0"/>
    <xf numFmtId="0" fontId="26" fillId="0" borderId="0"/>
    <xf numFmtId="0" fontId="29" fillId="0" borderId="0" applyNumberFormat="0" applyFill="0" applyBorder="0" applyAlignment="0" applyProtection="0"/>
  </cellStyleXfs>
  <cellXfs count="4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165" fontId="14" fillId="0" borderId="0" xfId="0" applyNumberFormat="1" applyFont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17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/>
    <xf numFmtId="1" fontId="0" fillId="0" borderId="0" xfId="0" applyNumberFormat="1"/>
    <xf numFmtId="0" fontId="6" fillId="0" borderId="10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1" fontId="16" fillId="0" borderId="0" xfId="0" applyNumberFormat="1" applyFont="1"/>
    <xf numFmtId="0" fontId="6" fillId="0" borderId="6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2" fontId="16" fillId="0" borderId="0" xfId="0" applyNumberFormat="1" applyFont="1"/>
    <xf numFmtId="0" fontId="21" fillId="4" borderId="16" xfId="0" applyFont="1" applyFill="1" applyBorder="1" applyAlignment="1">
      <alignment horizontal="justify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165" fontId="11" fillId="0" borderId="13" xfId="0" applyNumberFormat="1" applyFont="1" applyBorder="1" applyAlignment="1">
      <alignment horizontal="right" vertical="center" wrapText="1"/>
    </xf>
    <xf numFmtId="0" fontId="7" fillId="0" borderId="10" xfId="0" applyFont="1" applyBorder="1" applyAlignment="1" applyProtection="1">
      <alignment horizontal="right" vertical="center" wrapText="1"/>
      <protection locked="0"/>
    </xf>
    <xf numFmtId="0" fontId="7" fillId="2" borderId="10" xfId="0" applyFont="1" applyFill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166" fontId="7" fillId="0" borderId="13" xfId="0" applyNumberFormat="1" applyFont="1" applyBorder="1" applyAlignment="1">
      <alignment horizontal="right" vertical="center" wrapText="1"/>
    </xf>
    <xf numFmtId="0" fontId="6" fillId="0" borderId="14" xfId="0" applyFont="1" applyBorder="1" applyAlignment="1" applyProtection="1">
      <alignment vertical="top" wrapText="1"/>
      <protection locked="0"/>
    </xf>
    <xf numFmtId="165" fontId="7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5" fontId="8" fillId="0" borderId="12" xfId="0" applyNumberFormat="1" applyFont="1" applyBorder="1" applyAlignment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2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0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25" fillId="4" borderId="15" xfId="0" applyFont="1" applyFill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7" fillId="2" borderId="12" xfId="0" applyNumberFormat="1" applyFont="1" applyFill="1" applyBorder="1" applyAlignment="1" applyProtection="1">
      <alignment horizontal="right" vertical="center" wrapText="1"/>
      <protection locked="0"/>
    </xf>
    <xf numFmtId="2" fontId="11" fillId="0" borderId="13" xfId="0" applyNumberFormat="1" applyFont="1" applyBorder="1" applyAlignment="1">
      <alignment horizontal="right" vertical="center" wrapText="1"/>
    </xf>
    <xf numFmtId="2" fontId="0" fillId="2" borderId="18" xfId="0" applyNumberFormat="1" applyFill="1" applyBorder="1" applyAlignment="1">
      <alignment horizontal="center"/>
    </xf>
    <xf numFmtId="0" fontId="26" fillId="0" borderId="0" xfId="5"/>
    <xf numFmtId="0" fontId="27" fillId="0" borderId="0" xfId="5" applyFont="1"/>
    <xf numFmtId="0" fontId="26" fillId="0" borderId="0" xfId="5" applyAlignment="1">
      <alignment wrapText="1"/>
    </xf>
    <xf numFmtId="0" fontId="31" fillId="3" borderId="14" xfId="5" applyFont="1" applyFill="1" applyBorder="1" applyAlignment="1">
      <alignment vertical="center" wrapText="1"/>
    </xf>
    <xf numFmtId="0" fontId="31" fillId="3" borderId="14" xfId="5" applyFont="1" applyFill="1" applyBorder="1" applyAlignment="1">
      <alignment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 wrapText="1"/>
    </xf>
    <xf numFmtId="0" fontId="31" fillId="3" borderId="14" xfId="5" applyFont="1" applyFill="1" applyBorder="1" applyAlignment="1">
      <alignment horizontal="center" vertical="center" wrapText="1"/>
    </xf>
    <xf numFmtId="0" fontId="31" fillId="3" borderId="14" xfId="5" applyFont="1" applyFill="1" applyBorder="1" applyAlignment="1">
      <alignment horizontal="left" vertical="center" indent="1"/>
    </xf>
    <xf numFmtId="0" fontId="31" fillId="3" borderId="14" xfId="5" applyFont="1" applyFill="1" applyBorder="1" applyAlignment="1">
      <alignment horizontal="center" vertical="center"/>
    </xf>
    <xf numFmtId="0" fontId="26" fillId="0" borderId="0" xfId="5" applyProtection="1">
      <protection locked="0"/>
    </xf>
    <xf numFmtId="0" fontId="36" fillId="5" borderId="14" xfId="5" applyFont="1" applyFill="1" applyBorder="1" applyAlignment="1">
      <alignment vertical="center"/>
    </xf>
    <xf numFmtId="0" fontId="31" fillId="3" borderId="14" xfId="5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21" fillId="4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165" fontId="11" fillId="2" borderId="12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165" fontId="11" fillId="0" borderId="10" xfId="0" applyNumberFormat="1" applyFont="1" applyBorder="1" applyAlignment="1">
      <alignment horizontal="right" vertical="center" wrapText="1"/>
    </xf>
    <xf numFmtId="0" fontId="21" fillId="4" borderId="18" xfId="0" applyFont="1" applyFill="1" applyBorder="1" applyAlignment="1">
      <alignment horizontal="center" vertical="center"/>
    </xf>
    <xf numFmtId="2" fontId="21" fillId="7" borderId="19" xfId="0" applyNumberFormat="1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24" fillId="0" borderId="22" xfId="0" applyFont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/>
    </xf>
    <xf numFmtId="0" fontId="21" fillId="7" borderId="21" xfId="0" applyFont="1" applyFill="1" applyBorder="1" applyAlignment="1">
      <alignment horizontal="justify" vertical="center" wrapText="1"/>
    </xf>
    <xf numFmtId="0" fontId="21" fillId="7" borderId="19" xfId="0" applyFont="1" applyFill="1" applyBorder="1" applyAlignment="1">
      <alignment horizontal="justify" vertical="center" wrapText="1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65" fontId="2" fillId="0" borderId="11" xfId="0" applyNumberFormat="1" applyFont="1" applyBorder="1" applyAlignment="1">
      <alignment horizontal="right" vertical="center" wrapTex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10" fontId="7" fillId="2" borderId="12" xfId="0" applyNumberFormat="1" applyFont="1" applyFill="1" applyBorder="1" applyAlignment="1">
      <alignment vertical="center" wrapText="1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165" fontId="9" fillId="0" borderId="13" xfId="0" applyNumberFormat="1" applyFont="1" applyBorder="1" applyAlignment="1">
      <alignment horizontal="right" vertical="center" wrapText="1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center"/>
      <protection locked="0"/>
    </xf>
    <xf numFmtId="165" fontId="9" fillId="0" borderId="12" xfId="0" applyNumberFormat="1" applyFont="1" applyBorder="1" applyAlignment="1">
      <alignment horizontal="right" vertical="center" wrapText="1"/>
    </xf>
    <xf numFmtId="0" fontId="7" fillId="0" borderId="9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vertical="top" wrapText="1"/>
      <protection locked="0"/>
    </xf>
    <xf numFmtId="165" fontId="9" fillId="0" borderId="11" xfId="0" applyNumberFormat="1" applyFont="1" applyBorder="1" applyAlignment="1">
      <alignment horizontal="right" vertical="center" wrapText="1"/>
    </xf>
    <xf numFmtId="0" fontId="7" fillId="0" borderId="26" xfId="0" applyFont="1" applyBorder="1" applyAlignment="1" applyProtection="1">
      <alignment vertical="center"/>
      <protection locked="0"/>
    </xf>
    <xf numFmtId="0" fontId="37" fillId="0" borderId="10" xfId="0" applyFont="1" applyBorder="1" applyProtection="1">
      <protection locked="0"/>
    </xf>
    <xf numFmtId="165" fontId="9" fillId="0" borderId="10" xfId="0" applyNumberFormat="1" applyFont="1" applyBorder="1" applyAlignment="1">
      <alignment horizontal="right" vertical="center" wrapText="1"/>
    </xf>
    <xf numFmtId="0" fontId="7" fillId="0" borderId="10" xfId="0" applyFont="1" applyBorder="1" applyAlignment="1" applyProtection="1">
      <alignment vertical="center"/>
      <protection locked="0"/>
    </xf>
    <xf numFmtId="0" fontId="38" fillId="0" borderId="7" xfId="0" applyFont="1" applyBorder="1" applyAlignment="1" applyProtection="1">
      <alignment horizontal="left"/>
      <protection locked="0"/>
    </xf>
    <xf numFmtId="165" fontId="9" fillId="0" borderId="0" xfId="0" applyNumberFormat="1" applyFont="1" applyAlignment="1">
      <alignment horizontal="left" vertical="center" wrapText="1"/>
    </xf>
    <xf numFmtId="0" fontId="37" fillId="0" borderId="12" xfId="0" applyFont="1" applyBorder="1" applyProtection="1">
      <protection locked="0"/>
    </xf>
    <xf numFmtId="165" fontId="37" fillId="0" borderId="12" xfId="0" applyNumberFormat="1" applyFont="1" applyBorder="1" applyProtection="1">
      <protection locked="0"/>
    </xf>
    <xf numFmtId="0" fontId="38" fillId="0" borderId="8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0" fillId="0" borderId="7" xfId="0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8" fillId="0" borderId="10" xfId="0" applyFont="1" applyBorder="1" applyAlignment="1" applyProtection="1">
      <alignment vertical="center" wrapText="1"/>
      <protection locked="0"/>
    </xf>
    <xf numFmtId="0" fontId="38" fillId="0" borderId="3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38" fillId="0" borderId="2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right" vertical="center" wrapText="1"/>
      <protection locked="0"/>
    </xf>
    <xf numFmtId="168" fontId="7" fillId="0" borderId="12" xfId="0" applyNumberFormat="1" applyFont="1" applyBorder="1" applyAlignment="1" applyProtection="1">
      <alignment horizontal="right" vertical="center" wrapText="1"/>
      <protection locked="0"/>
    </xf>
    <xf numFmtId="0" fontId="6" fillId="0" borderId="12" xfId="0" applyFont="1" applyBorder="1" applyAlignment="1">
      <alignment vertical="top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top"/>
    </xf>
    <xf numFmtId="0" fontId="39" fillId="0" borderId="0" xfId="0" applyFont="1" applyAlignment="1" applyProtection="1">
      <alignment horizontal="left" vertical="top" wrapText="1"/>
      <protection locked="0"/>
    </xf>
    <xf numFmtId="165" fontId="2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0" borderId="9" xfId="0" applyFont="1" applyBorder="1"/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 wrapText="1"/>
    </xf>
    <xf numFmtId="0" fontId="6" fillId="0" borderId="26" xfId="0" applyFont="1" applyBorder="1" applyAlignment="1">
      <alignment vertical="center"/>
    </xf>
    <xf numFmtId="0" fontId="6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/>
    </xf>
    <xf numFmtId="0" fontId="6" fillId="0" borderId="14" xfId="0" applyFont="1" applyBorder="1" applyAlignment="1">
      <alignment vertical="top"/>
    </xf>
    <xf numFmtId="0" fontId="6" fillId="0" borderId="11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vertical="top" wrapText="1"/>
    </xf>
    <xf numFmtId="0" fontId="2" fillId="0" borderId="9" xfId="0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 wrapText="1"/>
    </xf>
    <xf numFmtId="0" fontId="19" fillId="0" borderId="11" xfId="0" applyFont="1" applyBorder="1"/>
    <xf numFmtId="0" fontId="16" fillId="6" borderId="27" xfId="0" applyFont="1" applyFill="1" applyBorder="1"/>
    <xf numFmtId="0" fontId="16" fillId="0" borderId="27" xfId="0" applyFont="1" applyBorder="1"/>
    <xf numFmtId="166" fontId="16" fillId="0" borderId="0" xfId="0" applyNumberFormat="1" applyFont="1"/>
    <xf numFmtId="0" fontId="41" fillId="6" borderId="27" xfId="0" applyFont="1" applyFill="1" applyBorder="1"/>
    <xf numFmtId="0" fontId="16" fillId="6" borderId="27" xfId="0" applyFont="1" applyFill="1" applyBorder="1" applyAlignment="1">
      <alignment horizontal="center" wrapText="1"/>
    </xf>
    <xf numFmtId="0" fontId="16" fillId="6" borderId="27" xfId="0" applyFont="1" applyFill="1" applyBorder="1" applyAlignment="1">
      <alignment vertical="center"/>
    </xf>
    <xf numFmtId="0" fontId="16" fillId="6" borderId="27" xfId="0" applyFont="1" applyFill="1" applyBorder="1" applyAlignment="1">
      <alignment horizontal="center" vertical="center" wrapText="1"/>
    </xf>
    <xf numFmtId="166" fontId="16" fillId="0" borderId="27" xfId="0" applyNumberFormat="1" applyFont="1" applyBorder="1"/>
    <xf numFmtId="0" fontId="16" fillId="6" borderId="27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left" vertical="top"/>
    </xf>
    <xf numFmtId="1" fontId="16" fillId="2" borderId="27" xfId="0" applyNumberFormat="1" applyFont="1" applyFill="1" applyBorder="1" applyAlignment="1">
      <alignment horizontal="center"/>
    </xf>
    <xf numFmtId="1" fontId="16" fillId="0" borderId="27" xfId="0" applyNumberFormat="1" applyFont="1" applyBorder="1"/>
    <xf numFmtId="2" fontId="16" fillId="0" borderId="27" xfId="0" applyNumberFormat="1" applyFont="1" applyBorder="1" applyAlignment="1">
      <alignment horizontal="right" vertical="center"/>
    </xf>
    <xf numFmtId="0" fontId="40" fillId="0" borderId="27" xfId="0" applyFont="1" applyBorder="1" applyAlignment="1">
      <alignment horizontal="left" vertical="top"/>
    </xf>
    <xf numFmtId="166" fontId="16" fillId="6" borderId="27" xfId="0" applyNumberFormat="1" applyFont="1" applyFill="1" applyBorder="1" applyAlignment="1">
      <alignment horizontal="center" vertical="center"/>
    </xf>
    <xf numFmtId="1" fontId="16" fillId="6" borderId="27" xfId="0" applyNumberFormat="1" applyFont="1" applyFill="1" applyBorder="1"/>
    <xf numFmtId="0" fontId="16" fillId="0" borderId="27" xfId="0" applyFont="1" applyBorder="1" applyAlignment="1">
      <alignment horizontal="right"/>
    </xf>
    <xf numFmtId="0" fontId="16" fillId="6" borderId="27" xfId="0" applyFont="1" applyFill="1" applyBorder="1" applyAlignment="1">
      <alignment horizontal="right"/>
    </xf>
    <xf numFmtId="168" fontId="11" fillId="0" borderId="13" xfId="0" applyNumberFormat="1" applyFont="1" applyBorder="1" applyAlignment="1">
      <alignment horizontal="right" vertical="center" wrapText="1"/>
    </xf>
    <xf numFmtId="2" fontId="7" fillId="8" borderId="12" xfId="0" applyNumberFormat="1" applyFont="1" applyFill="1" applyBorder="1" applyAlignment="1" applyProtection="1">
      <alignment horizontal="right" vertical="center" wrapText="1"/>
      <protection locked="0"/>
    </xf>
    <xf numFmtId="165" fontId="7" fillId="8" borderId="12" xfId="0" applyNumberFormat="1" applyFont="1" applyFill="1" applyBorder="1" applyAlignment="1" applyProtection="1">
      <alignment horizontal="right" vertical="center" wrapText="1"/>
      <protection locked="0"/>
    </xf>
    <xf numFmtId="166" fontId="7" fillId="8" borderId="12" xfId="0" applyNumberFormat="1" applyFont="1" applyFill="1" applyBorder="1" applyAlignment="1" applyProtection="1">
      <alignment horizontal="right" vertical="center" wrapText="1"/>
      <protection locked="0"/>
    </xf>
    <xf numFmtId="165" fontId="16" fillId="8" borderId="27" xfId="0" applyNumberFormat="1" applyFont="1" applyFill="1" applyBorder="1"/>
    <xf numFmtId="2" fontId="16" fillId="8" borderId="27" xfId="0" applyNumberFormat="1" applyFont="1" applyFill="1" applyBorder="1" applyAlignment="1">
      <alignment horizontal="center"/>
    </xf>
    <xf numFmtId="0" fontId="16" fillId="8" borderId="27" xfId="0" applyFont="1" applyFill="1" applyBorder="1" applyAlignment="1">
      <alignment horizontal="center"/>
    </xf>
    <xf numFmtId="165" fontId="16" fillId="8" borderId="27" xfId="0" applyNumberFormat="1" applyFont="1" applyFill="1" applyBorder="1" applyAlignment="1">
      <alignment horizontal="center"/>
    </xf>
    <xf numFmtId="0" fontId="25" fillId="4" borderId="21" xfId="0" applyFont="1" applyFill="1" applyBorder="1" applyAlignment="1">
      <alignment horizontal="justify" vertical="center" wrapText="1"/>
    </xf>
    <xf numFmtId="0" fontId="6" fillId="9" borderId="30" xfId="0" applyFont="1" applyFill="1" applyBorder="1" applyAlignment="1">
      <alignment wrapText="1"/>
    </xf>
    <xf numFmtId="0" fontId="31" fillId="3" borderId="31" xfId="5" applyFont="1" applyFill="1" applyBorder="1" applyAlignment="1">
      <alignment horizontal="center" vertical="center" wrapText="1"/>
    </xf>
    <xf numFmtId="0" fontId="34" fillId="0" borderId="34" xfId="5" applyFont="1" applyBorder="1" applyAlignment="1">
      <alignment vertical="center" wrapText="1"/>
    </xf>
    <xf numFmtId="0" fontId="31" fillId="3" borderId="35" xfId="5" applyFont="1" applyFill="1" applyBorder="1" applyAlignment="1">
      <alignment vertical="center" wrapText="1"/>
    </xf>
    <xf numFmtId="0" fontId="44" fillId="3" borderId="31" xfId="5" applyFont="1" applyFill="1" applyBorder="1" applyAlignment="1">
      <alignment horizontal="center" vertical="center" wrapText="1"/>
    </xf>
    <xf numFmtId="0" fontId="34" fillId="0" borderId="34" xfId="1" applyFont="1" applyFill="1" applyBorder="1" applyAlignment="1" applyProtection="1">
      <alignment vertical="center" wrapText="1"/>
    </xf>
    <xf numFmtId="0" fontId="45" fillId="0" borderId="0" xfId="5" applyFont="1"/>
    <xf numFmtId="0" fontId="45" fillId="0" borderId="0" xfId="5" applyFont="1" applyProtection="1">
      <protection locked="0"/>
    </xf>
    <xf numFmtId="0" fontId="31" fillId="3" borderId="31" xfId="5" applyFont="1" applyFill="1" applyBorder="1" applyAlignment="1">
      <alignment horizontal="left" vertical="center" wrapText="1"/>
    </xf>
    <xf numFmtId="0" fontId="6" fillId="0" borderId="3" xfId="0" applyFont="1" applyBorder="1" applyAlignment="1" applyProtection="1">
      <alignment vertical="top" wrapText="1"/>
      <protection locked="0"/>
    </xf>
    <xf numFmtId="1" fontId="42" fillId="2" borderId="18" xfId="0" applyNumberFormat="1" applyFont="1" applyFill="1" applyBorder="1" applyAlignment="1">
      <alignment horizontal="center"/>
    </xf>
    <xf numFmtId="0" fontId="32" fillId="2" borderId="32" xfId="5" applyFont="1" applyFill="1" applyBorder="1" applyAlignment="1">
      <alignment vertical="center"/>
    </xf>
    <xf numFmtId="0" fontId="32" fillId="2" borderId="32" xfId="5" quotePrefix="1" applyFont="1" applyFill="1" applyBorder="1" applyAlignment="1">
      <alignment vertical="center"/>
    </xf>
    <xf numFmtId="0" fontId="35" fillId="2" borderId="33" xfId="1" applyFont="1" applyFill="1" applyBorder="1" applyAlignment="1" applyProtection="1">
      <alignment vertical="center"/>
    </xf>
    <xf numFmtId="9" fontId="32" fillId="2" borderId="31" xfId="2" applyFont="1" applyFill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1" fontId="7" fillId="8" borderId="12" xfId="0" applyNumberFormat="1" applyFont="1" applyFill="1" applyBorder="1" applyAlignment="1" applyProtection="1">
      <alignment horizontal="right" vertical="center" wrapText="1"/>
      <protection locked="0"/>
    </xf>
    <xf numFmtId="0" fontId="32" fillId="2" borderId="32" xfId="5" applyFont="1" applyFill="1" applyBorder="1" applyAlignment="1">
      <alignment horizontal="left" vertical="center"/>
    </xf>
    <xf numFmtId="169" fontId="6" fillId="0" borderId="0" xfId="0" applyNumberFormat="1" applyFont="1" applyAlignment="1">
      <alignment vertical="center" wrapText="1"/>
    </xf>
    <xf numFmtId="0" fontId="3" fillId="0" borderId="34" xfId="0" applyFont="1" applyBorder="1"/>
    <xf numFmtId="0" fontId="2" fillId="0" borderId="39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right" vertical="center" wrapText="1"/>
    </xf>
    <xf numFmtId="0" fontId="6" fillId="0" borderId="35" xfId="0" applyFont="1" applyBorder="1" applyAlignment="1">
      <alignment vertical="center"/>
    </xf>
    <xf numFmtId="0" fontId="16" fillId="6" borderId="31" xfId="0" applyFont="1" applyFill="1" applyBorder="1"/>
    <xf numFmtId="0" fontId="16" fillId="6" borderId="31" xfId="0" applyFont="1" applyFill="1" applyBorder="1" applyAlignment="1">
      <alignment wrapText="1"/>
    </xf>
    <xf numFmtId="0" fontId="21" fillId="0" borderId="31" xfId="0" applyFont="1" applyBorder="1" applyAlignment="1">
      <alignment horizontal="justify" vertical="center" wrapText="1"/>
    </xf>
    <xf numFmtId="0" fontId="16" fillId="0" borderId="31" xfId="0" applyFont="1" applyBorder="1" applyAlignment="1">
      <alignment wrapText="1"/>
    </xf>
    <xf numFmtId="0" fontId="16" fillId="0" borderId="31" xfId="0" applyFont="1" applyBorder="1"/>
    <xf numFmtId="2" fontId="0" fillId="2" borderId="31" xfId="0" applyNumberFormat="1" applyFill="1" applyBorder="1"/>
    <xf numFmtId="164" fontId="0" fillId="2" borderId="31" xfId="3" applyFont="1" applyFill="1" applyBorder="1"/>
    <xf numFmtId="169" fontId="0" fillId="0" borderId="31" xfId="2" applyNumberFormat="1" applyFont="1" applyFill="1" applyBorder="1"/>
    <xf numFmtId="0" fontId="0" fillId="0" borderId="31" xfId="0" applyBorder="1"/>
    <xf numFmtId="164" fontId="0" fillId="0" borderId="31" xfId="3" applyFont="1" applyFill="1" applyBorder="1"/>
    <xf numFmtId="0" fontId="16" fillId="0" borderId="31" xfId="0" applyFont="1" applyBorder="1" applyAlignment="1">
      <alignment horizontal="left" vertical="top"/>
    </xf>
    <xf numFmtId="0" fontId="16" fillId="8" borderId="31" xfId="0" applyFont="1" applyFill="1" applyBorder="1" applyAlignment="1">
      <alignment horizontal="center"/>
    </xf>
    <xf numFmtId="166" fontId="16" fillId="0" borderId="31" xfId="0" applyNumberFormat="1" applyFont="1" applyBorder="1"/>
    <xf numFmtId="2" fontId="16" fillId="0" borderId="31" xfId="0" applyNumberFormat="1" applyFont="1" applyBorder="1" applyAlignment="1">
      <alignment horizontal="right" vertical="center"/>
    </xf>
    <xf numFmtId="1" fontId="16" fillId="0" borderId="31" xfId="0" applyNumberFormat="1" applyFont="1" applyBorder="1"/>
    <xf numFmtId="0" fontId="16" fillId="7" borderId="31" xfId="0" applyFont="1" applyFill="1" applyBorder="1" applyAlignment="1">
      <alignment horizontal="left" vertical="top"/>
    </xf>
    <xf numFmtId="0" fontId="16" fillId="7" borderId="27" xfId="0" applyFont="1" applyFill="1" applyBorder="1" applyAlignment="1">
      <alignment horizontal="left" vertical="top"/>
    </xf>
    <xf numFmtId="165" fontId="16" fillId="8" borderId="31" xfId="0" applyNumberFormat="1" applyFont="1" applyFill="1" applyBorder="1" applyAlignment="1">
      <alignment horizontal="center"/>
    </xf>
    <xf numFmtId="0" fontId="40" fillId="7" borderId="27" xfId="0" applyFont="1" applyFill="1" applyBorder="1" applyAlignment="1">
      <alignment horizontal="left" vertical="top"/>
    </xf>
    <xf numFmtId="10" fontId="32" fillId="2" borderId="34" xfId="5" applyNumberFormat="1" applyFont="1" applyFill="1" applyBorder="1" applyAlignment="1">
      <alignment horizontal="center" vertical="center" wrapText="1"/>
    </xf>
    <xf numFmtId="0" fontId="32" fillId="2" borderId="31" xfId="5" applyFont="1" applyFill="1" applyBorder="1" applyAlignment="1">
      <alignment horizontal="center" vertical="center" wrapText="1"/>
    </xf>
    <xf numFmtId="2" fontId="16" fillId="0" borderId="27" xfId="0" applyNumberFormat="1" applyFont="1" applyBorder="1"/>
    <xf numFmtId="169" fontId="16" fillId="0" borderId="27" xfId="2" applyNumberFormat="1" applyFont="1" applyFill="1" applyBorder="1"/>
    <xf numFmtId="1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44" fillId="2" borderId="14" xfId="5" applyFont="1" applyFill="1" applyBorder="1" applyAlignment="1">
      <alignment vertical="center"/>
    </xf>
    <xf numFmtId="0" fontId="44" fillId="10" borderId="27" xfId="5" quotePrefix="1" applyFont="1" applyFill="1" applyBorder="1" applyAlignment="1">
      <alignment horizontal="center" vertical="center"/>
    </xf>
    <xf numFmtId="14" fontId="44" fillId="10" borderId="27" xfId="5" quotePrefix="1" applyNumberFormat="1" applyFont="1" applyFill="1" applyBorder="1" applyAlignment="1">
      <alignment horizontal="center" vertical="center"/>
    </xf>
    <xf numFmtId="0" fontId="31" fillId="3" borderId="27" xfId="5" applyFont="1" applyFill="1" applyBorder="1" applyAlignment="1">
      <alignment vertical="center" wrapText="1"/>
    </xf>
    <xf numFmtId="171" fontId="44" fillId="2" borderId="14" xfId="5" applyNumberFormat="1" applyFont="1" applyFill="1" applyBorder="1" applyAlignment="1">
      <alignment horizontal="left" vertical="center"/>
    </xf>
    <xf numFmtId="0" fontId="27" fillId="6" borderId="27" xfId="5" applyFont="1" applyFill="1" applyBorder="1" applyAlignment="1">
      <alignment horizontal="center" vertical="center" wrapText="1"/>
    </xf>
    <xf numFmtId="0" fontId="44" fillId="2" borderId="27" xfId="5" applyFont="1" applyFill="1" applyBorder="1" applyAlignment="1">
      <alignment vertical="center" wrapText="1"/>
    </xf>
    <xf numFmtId="0" fontId="44" fillId="2" borderId="27" xfId="5" applyFont="1" applyFill="1" applyBorder="1" applyAlignment="1">
      <alignment horizontal="center" vertical="center" wrapText="1"/>
    </xf>
    <xf numFmtId="0" fontId="44" fillId="0" borderId="9" xfId="5" applyFont="1" applyBorder="1" applyAlignment="1">
      <alignment horizontal="center" vertical="center" wrapText="1"/>
    </xf>
    <xf numFmtId="0" fontId="44" fillId="0" borderId="31" xfId="5" applyFont="1" applyBorder="1" applyAlignment="1">
      <alignment horizontal="center" vertical="center" wrapText="1"/>
    </xf>
    <xf numFmtId="0" fontId="44" fillId="2" borderId="31" xfId="5" applyFont="1" applyFill="1" applyBorder="1" applyAlignment="1">
      <alignment horizontal="center" vertical="center" wrapText="1"/>
    </xf>
    <xf numFmtId="0" fontId="44" fillId="10" borderId="32" xfId="5" applyFont="1" applyFill="1" applyBorder="1" applyAlignment="1">
      <alignment vertical="center"/>
    </xf>
    <xf numFmtId="0" fontId="44" fillId="10" borderId="32" xfId="5" quotePrefix="1" applyFont="1" applyFill="1" applyBorder="1" applyAlignment="1">
      <alignment vertical="center"/>
    </xf>
    <xf numFmtId="0" fontId="44" fillId="7" borderId="32" xfId="5" quotePrefix="1" applyFont="1" applyFill="1" applyBorder="1" applyAlignment="1">
      <alignment vertical="center"/>
    </xf>
    <xf numFmtId="165" fontId="42" fillId="2" borderId="18" xfId="0" applyNumberFormat="1" applyFont="1" applyFill="1" applyBorder="1" applyAlignment="1">
      <alignment horizontal="center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right" vertical="center" wrapText="1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vertical="top" wrapText="1"/>
    </xf>
    <xf numFmtId="166" fontId="43" fillId="0" borderId="11" xfId="0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top"/>
    </xf>
    <xf numFmtId="0" fontId="0" fillId="0" borderId="11" xfId="0" applyBorder="1" applyAlignment="1">
      <alignment horizontal="left" vertical="center"/>
    </xf>
    <xf numFmtId="166" fontId="0" fillId="0" borderId="11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9" fontId="16" fillId="2" borderId="31" xfId="0" applyNumberFormat="1" applyFont="1" applyFill="1" applyBorder="1"/>
    <xf numFmtId="9" fontId="16" fillId="2" borderId="31" xfId="2" applyFont="1" applyFill="1" applyBorder="1"/>
    <xf numFmtId="0" fontId="0" fillId="0" borderId="31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31" xfId="3" applyNumberFormat="1" applyFont="1" applyFill="1" applyBorder="1"/>
    <xf numFmtId="164" fontId="7" fillId="2" borderId="12" xfId="0" applyNumberFormat="1" applyFont="1" applyFill="1" applyBorder="1" applyAlignment="1" applyProtection="1">
      <alignment horizontal="right" vertical="center" wrapText="1"/>
      <protection locked="0"/>
    </xf>
    <xf numFmtId="9" fontId="0" fillId="0" borderId="0" xfId="2" applyFont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1" fontId="42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9" fontId="0" fillId="0" borderId="0" xfId="2" applyNumberFormat="1" applyFont="1" applyFill="1" applyBorder="1"/>
    <xf numFmtId="0" fontId="31" fillId="3" borderId="27" xfId="5" applyFont="1" applyFill="1" applyBorder="1" applyAlignment="1">
      <alignment horizontal="justify" vertical="center"/>
    </xf>
    <xf numFmtId="0" fontId="28" fillId="3" borderId="27" xfId="5" applyFont="1" applyFill="1" applyBorder="1" applyAlignment="1">
      <alignment vertical="center"/>
    </xf>
    <xf numFmtId="0" fontId="47" fillId="10" borderId="32" xfId="1" applyFont="1" applyFill="1" applyBorder="1" applyAlignment="1" applyProtection="1">
      <alignment vertical="center"/>
    </xf>
    <xf numFmtId="0" fontId="26" fillId="0" borderId="27" xfId="5" applyBorder="1" applyAlignment="1">
      <alignment wrapText="1"/>
    </xf>
    <xf numFmtId="0" fontId="11" fillId="2" borderId="14" xfId="0" applyFont="1" applyFill="1" applyBorder="1" applyAlignment="1">
      <alignment horizontal="right" vertical="center" wrapText="1"/>
    </xf>
    <xf numFmtId="166" fontId="44" fillId="0" borderId="4" xfId="0" applyNumberFormat="1" applyFont="1" applyBorder="1" applyAlignment="1">
      <alignment horizontal="right" vertical="center" wrapText="1"/>
    </xf>
    <xf numFmtId="170" fontId="44" fillId="0" borderId="14" xfId="5" applyNumberFormat="1" applyFont="1" applyBorder="1" applyAlignment="1">
      <alignment horizontal="center" vertical="center" wrapText="1"/>
    </xf>
    <xf numFmtId="0" fontId="31" fillId="3" borderId="27" xfId="5" applyFont="1" applyFill="1" applyBorder="1" applyAlignment="1">
      <alignment horizontal="center" vertical="center"/>
    </xf>
    <xf numFmtId="10" fontId="7" fillId="0" borderId="10" xfId="0" applyNumberFormat="1" applyFont="1" applyBorder="1" applyAlignment="1">
      <alignment horizontal="right" vertical="center" wrapText="1"/>
    </xf>
    <xf numFmtId="0" fontId="21" fillId="0" borderId="41" xfId="0" applyFont="1" applyBorder="1" applyAlignment="1">
      <alignment horizontal="justify" vertical="center" wrapText="1"/>
    </xf>
    <xf numFmtId="0" fontId="16" fillId="0" borderId="41" xfId="0" applyFont="1" applyBorder="1"/>
    <xf numFmtId="0" fontId="21" fillId="0" borderId="42" xfId="0" applyFont="1" applyBorder="1" applyAlignment="1">
      <alignment horizontal="justify" vertical="center" wrapText="1"/>
    </xf>
    <xf numFmtId="9" fontId="16" fillId="0" borderId="31" xfId="2" applyFont="1" applyBorder="1"/>
    <xf numFmtId="0" fontId="16" fillId="2" borderId="27" xfId="0" applyFont="1" applyFill="1" applyBorder="1"/>
    <xf numFmtId="0" fontId="16" fillId="0" borderId="31" xfId="0" applyFont="1" applyBorder="1" applyAlignment="1">
      <alignment horizontal="right"/>
    </xf>
    <xf numFmtId="0" fontId="16" fillId="0" borderId="27" xfId="0" applyFont="1" applyBorder="1" applyAlignment="1">
      <alignment horizontal="left"/>
    </xf>
    <xf numFmtId="1" fontId="16" fillId="0" borderId="27" xfId="0" applyNumberFormat="1" applyFont="1" applyBorder="1" applyAlignment="1">
      <alignment horizontal="left"/>
    </xf>
    <xf numFmtId="167" fontId="2" fillId="0" borderId="30" xfId="0" applyNumberFormat="1" applyFont="1" applyBorder="1" applyAlignment="1">
      <alignment horizontal="left" vertical="center" wrapText="1"/>
    </xf>
    <xf numFmtId="165" fontId="42" fillId="0" borderId="20" xfId="0" applyNumberFormat="1" applyFont="1" applyBorder="1" applyAlignment="1">
      <alignment horizontal="center" vertical="center" wrapText="1"/>
    </xf>
    <xf numFmtId="166" fontId="42" fillId="0" borderId="27" xfId="0" applyNumberFormat="1" applyFont="1" applyBorder="1" applyAlignment="1">
      <alignment horizontal="right"/>
    </xf>
    <xf numFmtId="1" fontId="16" fillId="0" borderId="31" xfId="0" applyNumberFormat="1" applyFont="1" applyBorder="1" applyAlignment="1">
      <alignment horizontal="left"/>
    </xf>
    <xf numFmtId="166" fontId="42" fillId="0" borderId="31" xfId="0" applyNumberFormat="1" applyFont="1" applyBorder="1" applyAlignment="1">
      <alignment horizontal="right"/>
    </xf>
    <xf numFmtId="166" fontId="42" fillId="0" borderId="31" xfId="0" applyNumberFormat="1" applyFont="1" applyBorder="1"/>
    <xf numFmtId="166" fontId="42" fillId="0" borderId="31" xfId="0" applyNumberFormat="1" applyFont="1" applyBorder="1" applyAlignment="1">
      <alignment horizontal="center"/>
    </xf>
    <xf numFmtId="166" fontId="0" fillId="0" borderId="31" xfId="0" applyNumberFormat="1" applyBorder="1"/>
    <xf numFmtId="165" fontId="16" fillId="2" borderId="18" xfId="0" applyNumberFormat="1" applyFont="1" applyFill="1" applyBorder="1" applyAlignment="1">
      <alignment horizontal="center"/>
    </xf>
    <xf numFmtId="1" fontId="16" fillId="2" borderId="15" xfId="0" applyNumberFormat="1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/>
    </xf>
    <xf numFmtId="0" fontId="16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6" fillId="0" borderId="0" xfId="0" applyFont="1" applyProtection="1"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9" fontId="6" fillId="0" borderId="0" xfId="0" applyNumberFormat="1" applyFont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50" fillId="11" borderId="45" xfId="4" applyFont="1" applyFill="1" applyBorder="1"/>
    <xf numFmtId="0" fontId="50" fillId="11" borderId="44" xfId="4" applyFont="1" applyFill="1" applyBorder="1" applyAlignment="1">
      <alignment horizontal="center"/>
    </xf>
    <xf numFmtId="0" fontId="49" fillId="11" borderId="0" xfId="4" applyFont="1" applyFill="1"/>
    <xf numFmtId="0" fontId="49" fillId="11" borderId="48" xfId="4" applyFont="1" applyFill="1" applyBorder="1" applyAlignment="1">
      <alignment horizontal="center"/>
    </xf>
    <xf numFmtId="0" fontId="50" fillId="11" borderId="4" xfId="4" applyFont="1" applyFill="1" applyBorder="1" applyAlignment="1">
      <alignment horizontal="right"/>
    </xf>
    <xf numFmtId="0" fontId="50" fillId="11" borderId="51" xfId="4" applyFont="1" applyFill="1" applyBorder="1" applyAlignment="1">
      <alignment horizontal="center"/>
    </xf>
    <xf numFmtId="0" fontId="54" fillId="0" borderId="46" xfId="4" applyFont="1" applyBorder="1" applyAlignment="1">
      <alignment horizontal="left"/>
    </xf>
    <xf numFmtId="0" fontId="50" fillId="0" borderId="52" xfId="4" applyFont="1" applyBorder="1" applyAlignment="1" applyProtection="1">
      <alignment horizontal="left"/>
      <protection locked="0"/>
    </xf>
    <xf numFmtId="2" fontId="50" fillId="0" borderId="53" xfId="4" applyNumberFormat="1" applyFont="1" applyBorder="1" applyAlignment="1" applyProtection="1">
      <alignment horizontal="center"/>
      <protection locked="0"/>
    </xf>
    <xf numFmtId="168" fontId="50" fillId="0" borderId="54" xfId="4" applyNumberFormat="1" applyFont="1" applyBorder="1" applyAlignment="1" applyProtection="1">
      <alignment horizontal="center"/>
      <protection locked="0"/>
    </xf>
    <xf numFmtId="2" fontId="50" fillId="0" borderId="55" xfId="4" applyNumberFormat="1" applyFont="1" applyBorder="1" applyAlignment="1">
      <alignment horizontal="center"/>
    </xf>
    <xf numFmtId="0" fontId="54" fillId="0" borderId="56" xfId="4" applyFont="1" applyBorder="1" applyAlignment="1">
      <alignment horizontal="left"/>
    </xf>
    <xf numFmtId="0" fontId="55" fillId="0" borderId="57" xfId="4" applyFont="1" applyBorder="1"/>
    <xf numFmtId="165" fontId="56" fillId="0" borderId="55" xfId="4" applyNumberFormat="1" applyFont="1" applyBorder="1" applyAlignment="1">
      <alignment horizontal="center"/>
    </xf>
    <xf numFmtId="165" fontId="53" fillId="13" borderId="55" xfId="4" applyNumberFormat="1" applyFont="1" applyFill="1" applyBorder="1" applyAlignment="1">
      <alignment horizontal="center"/>
    </xf>
    <xf numFmtId="0" fontId="51" fillId="0" borderId="56" xfId="4" applyFont="1" applyBorder="1" applyAlignment="1">
      <alignment horizontal="left"/>
    </xf>
    <xf numFmtId="1" fontId="50" fillId="0" borderId="58" xfId="4" applyNumberFormat="1" applyFont="1" applyBorder="1" applyAlignment="1" applyProtection="1">
      <alignment horizontal="left"/>
      <protection locked="0"/>
    </xf>
    <xf numFmtId="165" fontId="50" fillId="12" borderId="53" xfId="4" applyNumberFormat="1" applyFont="1" applyFill="1" applyBorder="1" applyAlignment="1" applyProtection="1">
      <alignment horizontal="center"/>
      <protection locked="0"/>
    </xf>
    <xf numFmtId="2" fontId="50" fillId="12" borderId="54" xfId="4" applyNumberFormat="1" applyFont="1" applyFill="1" applyBorder="1" applyAlignment="1" applyProtection="1">
      <alignment horizontal="center"/>
      <protection locked="0"/>
    </xf>
    <xf numFmtId="166" fontId="50" fillId="12" borderId="54" xfId="4" applyNumberFormat="1" applyFont="1" applyFill="1" applyBorder="1" applyAlignment="1" applyProtection="1">
      <alignment horizontal="center"/>
      <protection locked="0"/>
    </xf>
    <xf numFmtId="0" fontId="51" fillId="0" borderId="59" xfId="4" applyFont="1" applyBorder="1" applyAlignment="1">
      <alignment horizontal="left"/>
    </xf>
    <xf numFmtId="1" fontId="50" fillId="0" borderId="60" xfId="4" applyNumberFormat="1" applyFont="1" applyBorder="1" applyAlignment="1" applyProtection="1">
      <alignment horizontal="left"/>
      <protection locked="0"/>
    </xf>
    <xf numFmtId="165" fontId="50" fillId="12" borderId="61" xfId="4" applyNumberFormat="1" applyFont="1" applyFill="1" applyBorder="1" applyAlignment="1" applyProtection="1">
      <alignment horizontal="center"/>
      <protection locked="0"/>
    </xf>
    <xf numFmtId="2" fontId="50" fillId="12" borderId="62" xfId="4" applyNumberFormat="1" applyFont="1" applyFill="1" applyBorder="1" applyAlignment="1" applyProtection="1">
      <alignment horizontal="center"/>
      <protection locked="0"/>
    </xf>
    <xf numFmtId="166" fontId="50" fillId="12" borderId="62" xfId="4" applyNumberFormat="1" applyFont="1" applyFill="1" applyBorder="1" applyAlignment="1" applyProtection="1">
      <alignment horizontal="center"/>
      <protection locked="0"/>
    </xf>
    <xf numFmtId="165" fontId="53" fillId="13" borderId="60" xfId="4" applyNumberFormat="1" applyFont="1" applyFill="1" applyBorder="1" applyAlignment="1">
      <alignment horizontal="center"/>
    </xf>
    <xf numFmtId="0" fontId="15" fillId="0" borderId="0" xfId="1" applyAlignment="1" applyProtection="1"/>
    <xf numFmtId="1" fontId="50" fillId="0" borderId="0" xfId="4" applyNumberFormat="1" applyFont="1" applyAlignment="1" applyProtection="1">
      <alignment horizontal="left"/>
      <protection locked="0"/>
    </xf>
    <xf numFmtId="0" fontId="57" fillId="3" borderId="27" xfId="5" applyFont="1" applyFill="1" applyBorder="1" applyAlignment="1">
      <alignment vertical="center" wrapText="1"/>
    </xf>
    <xf numFmtId="0" fontId="57" fillId="3" borderId="27" xfId="5" applyFont="1" applyFill="1" applyBorder="1" applyAlignment="1">
      <alignment vertical="center"/>
    </xf>
    <xf numFmtId="0" fontId="59" fillId="3" borderId="40" xfId="5" quotePrefix="1" applyFont="1" applyFill="1" applyBorder="1" applyAlignment="1">
      <alignment vertical="center" wrapText="1"/>
    </xf>
    <xf numFmtId="4" fontId="44" fillId="0" borderId="9" xfId="5" applyNumberFormat="1" applyFont="1" applyBorder="1" applyAlignment="1">
      <alignment horizontal="center" vertical="center" wrapText="1"/>
    </xf>
    <xf numFmtId="0" fontId="31" fillId="3" borderId="27" xfId="5" quotePrefix="1" applyFont="1" applyFill="1" applyBorder="1" applyAlignment="1">
      <alignment vertical="center" wrapText="1"/>
    </xf>
    <xf numFmtId="0" fontId="31" fillId="0" borderId="31" xfId="1" applyFont="1" applyBorder="1" applyAlignment="1" applyProtection="1">
      <alignment vertical="center" wrapText="1"/>
    </xf>
    <xf numFmtId="0" fontId="31" fillId="3" borderId="31" xfId="5" applyFont="1" applyFill="1" applyBorder="1" applyAlignment="1">
      <alignment vertical="center" wrapText="1"/>
    </xf>
    <xf numFmtId="0" fontId="31" fillId="0" borderId="37" xfId="1" applyFont="1" applyBorder="1" applyAlignment="1" applyProtection="1">
      <alignment vertical="center" wrapText="1"/>
    </xf>
    <xf numFmtId="0" fontId="30" fillId="0" borderId="31" xfId="5" applyFont="1" applyBorder="1" applyAlignment="1">
      <alignment horizontal="left" vertical="center"/>
    </xf>
    <xf numFmtId="0" fontId="34" fillId="0" borderId="1" xfId="5" applyFont="1" applyBorder="1" applyAlignment="1">
      <alignment horizontal="center" vertical="center"/>
    </xf>
    <xf numFmtId="0" fontId="34" fillId="0" borderId="31" xfId="5" applyFont="1" applyBorder="1" applyAlignment="1">
      <alignment horizontal="left" vertical="center"/>
    </xf>
    <xf numFmtId="0" fontId="30" fillId="6" borderId="9" xfId="5" applyFont="1" applyFill="1" applyBorder="1" applyAlignment="1">
      <alignment horizontal="left" vertical="center"/>
    </xf>
    <xf numFmtId="0" fontId="30" fillId="6" borderId="11" xfId="5" applyFont="1" applyFill="1" applyBorder="1" applyAlignment="1">
      <alignment horizontal="left" vertical="center"/>
    </xf>
    <xf numFmtId="0" fontId="30" fillId="6" borderId="26" xfId="5" applyFont="1" applyFill="1" applyBorder="1" applyAlignment="1">
      <alignment horizontal="left" vertical="center"/>
    </xf>
    <xf numFmtId="0" fontId="30" fillId="7" borderId="1" xfId="5" applyFont="1" applyFill="1" applyBorder="1" applyAlignment="1">
      <alignment horizontal="left" vertical="center"/>
    </xf>
    <xf numFmtId="0" fontId="28" fillId="3" borderId="10" xfId="5" applyFont="1" applyFill="1" applyBorder="1" applyAlignment="1">
      <alignment horizontal="center" vertical="center"/>
    </xf>
    <xf numFmtId="0" fontId="28" fillId="3" borderId="12" xfId="5" applyFont="1" applyFill="1" applyBorder="1" applyAlignment="1">
      <alignment horizontal="center" vertical="center"/>
    </xf>
    <xf numFmtId="0" fontId="33" fillId="6" borderId="14" xfId="5" applyFont="1" applyFill="1" applyBorder="1" applyAlignment="1">
      <alignment horizontal="center"/>
    </xf>
    <xf numFmtId="0" fontId="34" fillId="6" borderId="14" xfId="5" applyFont="1" applyFill="1" applyBorder="1" applyAlignment="1">
      <alignment horizontal="center"/>
    </xf>
    <xf numFmtId="0" fontId="31" fillId="3" borderId="36" xfId="5" applyFont="1" applyFill="1" applyBorder="1" applyAlignment="1">
      <alignment horizontal="center" vertical="center" wrapText="1"/>
    </xf>
    <xf numFmtId="0" fontId="31" fillId="3" borderId="12" xfId="5" applyFont="1" applyFill="1" applyBorder="1" applyAlignment="1">
      <alignment horizontal="center" vertical="center" wrapText="1"/>
    </xf>
    <xf numFmtId="0" fontId="31" fillId="3" borderId="13" xfId="5" applyFont="1" applyFill="1" applyBorder="1" applyAlignment="1">
      <alignment horizontal="center" vertical="center" wrapText="1"/>
    </xf>
    <xf numFmtId="0" fontId="31" fillId="3" borderId="36" xfId="5" applyFont="1" applyFill="1" applyBorder="1" applyAlignment="1">
      <alignment horizontal="left" vertical="center" wrapText="1"/>
    </xf>
    <xf numFmtId="0" fontId="31" fillId="3" borderId="12" xfId="5" applyFont="1" applyFill="1" applyBorder="1" applyAlignment="1">
      <alignment horizontal="left" vertical="center" wrapText="1"/>
    </xf>
    <xf numFmtId="0" fontId="31" fillId="3" borderId="13" xfId="5" applyFont="1" applyFill="1" applyBorder="1" applyAlignment="1">
      <alignment horizontal="left" vertical="center" wrapText="1"/>
    </xf>
    <xf numFmtId="0" fontId="31" fillId="3" borderId="31" xfId="5" applyFont="1" applyFill="1" applyBorder="1" applyAlignment="1">
      <alignment horizontal="center" vertical="center" wrapText="1"/>
    </xf>
    <xf numFmtId="0" fontId="31" fillId="3" borderId="38" xfId="5" applyFont="1" applyFill="1" applyBorder="1" applyAlignment="1">
      <alignment horizontal="left" vertical="center" wrapText="1"/>
    </xf>
    <xf numFmtId="0" fontId="31" fillId="3" borderId="7" xfId="5" applyFont="1" applyFill="1" applyBorder="1" applyAlignment="1">
      <alignment horizontal="left" vertical="center" wrapText="1"/>
    </xf>
    <xf numFmtId="0" fontId="31" fillId="3" borderId="8" xfId="5" applyFont="1" applyFill="1" applyBorder="1" applyAlignment="1">
      <alignment horizontal="left" vertical="center" wrapText="1"/>
    </xf>
    <xf numFmtId="0" fontId="31" fillId="3" borderId="37" xfId="5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/>
    </xf>
    <xf numFmtId="0" fontId="6" fillId="0" borderId="28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25" fillId="4" borderId="15" xfId="0" applyFont="1" applyFill="1" applyBorder="1" applyAlignment="1">
      <alignment horizontal="left" vertical="center" wrapText="1"/>
    </xf>
    <xf numFmtId="0" fontId="25" fillId="4" borderId="21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48" fillId="11" borderId="43" xfId="4" applyFont="1" applyFill="1" applyBorder="1" applyAlignment="1">
      <alignment horizontal="left" vertical="center"/>
    </xf>
    <xf numFmtId="0" fontId="48" fillId="11" borderId="44" xfId="4" applyFont="1" applyFill="1" applyBorder="1" applyAlignment="1">
      <alignment horizontal="left" vertical="center"/>
    </xf>
    <xf numFmtId="0" fontId="48" fillId="11" borderId="47" xfId="4" applyFont="1" applyFill="1" applyBorder="1" applyAlignment="1">
      <alignment horizontal="left" vertical="center"/>
    </xf>
    <xf numFmtId="0" fontId="48" fillId="11" borderId="48" xfId="4" applyFont="1" applyFill="1" applyBorder="1" applyAlignment="1">
      <alignment horizontal="left" vertical="center"/>
    </xf>
    <xf numFmtId="0" fontId="48" fillId="11" borderId="49" xfId="4" applyFont="1" applyFill="1" applyBorder="1" applyAlignment="1">
      <alignment horizontal="left" vertical="center"/>
    </xf>
    <xf numFmtId="0" fontId="48" fillId="11" borderId="50" xfId="4" applyFont="1" applyFill="1" applyBorder="1" applyAlignment="1">
      <alignment horizontal="left" vertical="center"/>
    </xf>
  </cellXfs>
  <cellStyles count="7">
    <cellStyle name="Comma" xfId="3" builtinId="3"/>
    <cellStyle name="Hyperlink" xfId="1" builtinId="8"/>
    <cellStyle name="Hyperlink 2" xfId="6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Per cent" xfId="2" builtinId="5"/>
  </cellStyles>
  <dxfs count="7">
    <dxf>
      <font>
        <b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6"/>
      </font>
      <fill>
        <patternFill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1"/>
        </top>
      </border>
    </dxf>
    <dxf>
      <font>
        <b val="0"/>
        <strike val="0"/>
        <outline val="0"/>
        <shadow val="0"/>
        <u val="none"/>
        <vertAlign val="baseline"/>
        <sz val="16"/>
      </font>
      <fill>
        <patternFill>
          <bgColor theme="0"/>
        </patternFill>
      </fill>
      <alignment vertical="center" textRotation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9525</xdr:rowOff>
    </xdr:from>
    <xdr:to>
      <xdr:col>2</xdr:col>
      <xdr:colOff>394336</xdr:colOff>
      <xdr:row>4</xdr:row>
      <xdr:rowOff>125282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7165"/>
          <a:ext cx="4998720" cy="61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5</xdr:row>
      <xdr:rowOff>160020</xdr:rowOff>
    </xdr:from>
    <xdr:to>
      <xdr:col>2</xdr:col>
      <xdr:colOff>379095</xdr:colOff>
      <xdr:row>13</xdr:row>
      <xdr:rowOff>58023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2072640"/>
          <a:ext cx="4968240" cy="1239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15241</xdr:colOff>
      <xdr:row>13</xdr:row>
      <xdr:rowOff>152402</xdr:rowOff>
    </xdr:from>
    <xdr:to>
      <xdr:col>2</xdr:col>
      <xdr:colOff>401955</xdr:colOff>
      <xdr:row>22</xdr:row>
      <xdr:rowOff>17360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930"/>
        <a:stretch/>
      </xdr:blipFill>
      <xdr:spPr bwMode="auto">
        <a:xfrm>
          <a:off x="15241" y="3954782"/>
          <a:ext cx="4991099" cy="137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lkmans Luc" id="{CE0B8A50-E907-451D-8FCB-57503DBF48CE}" userId="S::luc.pelkmans@vlaanderen.be::b45f32bf-3ad0-4955-b6d2-94f1b82888b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616" displayName="Tabel616" ref="A70:D71" insertRow="1" totalsRowShown="0" headerRowDxfId="6" dataDxfId="5" tableBorderDxfId="4" headerRowCellStyle="Normal 3">
  <tableColumns count="4">
    <tableColumn id="1" xr3:uid="{00000000-0010-0000-0000-000001000000}" name="Column1" dataDxfId="3"/>
    <tableColumn id="2" xr3:uid="{00000000-0010-0000-0000-000002000000}" name="Column2" dataDxfId="2" dataCellStyle="Normal 3"/>
    <tableColumn id="3" xr3:uid="{00000000-0010-0000-0000-000003000000}" name="Column3" dataDxfId="1" dataCellStyle="Normal 3"/>
    <tableColumn id="4" xr3:uid="{00000000-0010-0000-0000-000004000000}" name="Column4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6-02-10T16:10:33.49" personId="{CE0B8A50-E907-451D-8FCB-57503DBF48CE}" id="{CC10B61A-51AD-4525-8FDD-09A73A883D67}">
    <text>Automatic calculation from cells E6 &amp; E7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ourworldindata.org/grapher/carbon-intensity-electric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8"/>
  <sheetViews>
    <sheetView showGridLines="0" tabSelected="1" zoomScale="70" zoomScaleNormal="70" workbookViewId="0">
      <selection activeCell="A2" sqref="A2:D2"/>
    </sheetView>
  </sheetViews>
  <sheetFormatPr baseColWidth="10" defaultColWidth="8.83203125" defaultRowHeight="16" x14ac:dyDescent="0.2"/>
  <cols>
    <col min="1" max="1" width="100.6640625" style="88" customWidth="1"/>
    <col min="2" max="2" width="59.5" style="90" customWidth="1"/>
    <col min="3" max="3" width="48.33203125" style="90" bestFit="1" customWidth="1"/>
    <col min="4" max="4" width="103" style="90" customWidth="1"/>
    <col min="5" max="5" width="21.5" style="88" bestFit="1" customWidth="1"/>
    <col min="6" max="6" width="8.83203125" style="233"/>
    <col min="7" max="16384" width="8.83203125" style="88"/>
  </cols>
  <sheetData>
    <row r="1" spans="1:6" ht="31" x14ac:dyDescent="0.35">
      <c r="A1" s="390" t="s">
        <v>105</v>
      </c>
      <c r="B1" s="390"/>
      <c r="C1" s="390"/>
      <c r="D1" s="390"/>
    </row>
    <row r="2" spans="1:6" ht="21" x14ac:dyDescent="0.25">
      <c r="A2" s="391" t="s">
        <v>456</v>
      </c>
      <c r="B2" s="391"/>
      <c r="C2" s="391"/>
      <c r="D2" s="391"/>
    </row>
    <row r="3" spans="1:6" s="89" customFormat="1" ht="25" x14ac:dyDescent="0.3">
      <c r="A3" s="93" t="s">
        <v>93</v>
      </c>
      <c r="B3" s="94" t="s">
        <v>117</v>
      </c>
      <c r="C3" s="94" t="s">
        <v>95</v>
      </c>
      <c r="D3" s="94" t="s">
        <v>229</v>
      </c>
      <c r="F3" s="233"/>
    </row>
    <row r="4" spans="1:6" ht="24" x14ac:dyDescent="0.2">
      <c r="A4" s="384" t="s">
        <v>118</v>
      </c>
      <c r="B4" s="385"/>
      <c r="C4" s="385"/>
      <c r="D4" s="386"/>
    </row>
    <row r="5" spans="1:6" ht="44" x14ac:dyDescent="0.2">
      <c r="A5" s="92" t="s">
        <v>106</v>
      </c>
      <c r="B5" s="274" t="s">
        <v>427</v>
      </c>
      <c r="C5" s="95" t="s">
        <v>313</v>
      </c>
      <c r="D5" s="277" t="s">
        <v>436</v>
      </c>
    </row>
    <row r="6" spans="1:6" ht="44" x14ac:dyDescent="0.2">
      <c r="A6" s="92" t="s">
        <v>96</v>
      </c>
      <c r="B6" s="274" t="str">
        <f>"0" &amp; YEAR(E6)*100000000+MONTH(E6)*1000000+DAY(E6)*10000+E7 &amp; "-" &amp; TEXT(YEAR(E6)*100000000+MONTH(E6)*1000000+DAY(E6)*10000+E7-ROUNDDOWN((YEAR(E6)*100000000+MONTH(E6)*1000000+DAY(E6)*10000+E7)/97,0)*97, "0#")</f>
        <v>0202401011000-80</v>
      </c>
      <c r="C6" s="95" t="s">
        <v>313</v>
      </c>
      <c r="D6" s="277" t="s">
        <v>437</v>
      </c>
      <c r="E6" s="276">
        <v>45292</v>
      </c>
    </row>
    <row r="7" spans="1:6" ht="44" x14ac:dyDescent="0.2">
      <c r="A7" s="92" t="s">
        <v>107</v>
      </c>
      <c r="B7" s="278">
        <v>44197</v>
      </c>
      <c r="C7" s="95" t="s">
        <v>313</v>
      </c>
      <c r="D7" s="277" t="s">
        <v>309</v>
      </c>
      <c r="E7" s="275">
        <v>1000</v>
      </c>
    </row>
    <row r="9" spans="1:6" ht="24" x14ac:dyDescent="0.2">
      <c r="A9" s="384" t="s">
        <v>108</v>
      </c>
      <c r="B9" s="385"/>
      <c r="C9" s="385"/>
      <c r="D9" s="386"/>
    </row>
    <row r="10" spans="1:6" ht="21" x14ac:dyDescent="0.2">
      <c r="A10" s="96" t="s">
        <v>109</v>
      </c>
      <c r="B10" s="238"/>
      <c r="C10" s="97" t="s">
        <v>97</v>
      </c>
      <c r="D10" s="92"/>
    </row>
    <row r="11" spans="1:6" ht="19.25" customHeight="1" x14ac:dyDescent="0.2">
      <c r="A11" s="96" t="s">
        <v>110</v>
      </c>
      <c r="B11" s="244"/>
      <c r="C11" s="317" t="s">
        <v>310</v>
      </c>
      <c r="D11" s="373"/>
    </row>
    <row r="12" spans="1:6" ht="21" x14ac:dyDescent="0.2">
      <c r="A12" s="96" t="s">
        <v>111</v>
      </c>
      <c r="B12" s="238"/>
      <c r="C12" s="97" t="s">
        <v>97</v>
      </c>
      <c r="D12" s="374"/>
    </row>
    <row r="13" spans="1:6" ht="21" x14ac:dyDescent="0.2">
      <c r="A13" s="96" t="s">
        <v>112</v>
      </c>
      <c r="B13" s="238"/>
      <c r="C13" s="97" t="s">
        <v>97</v>
      </c>
      <c r="D13" s="92"/>
    </row>
    <row r="14" spans="1:6" ht="21" x14ac:dyDescent="0.2">
      <c r="A14" s="96" t="s">
        <v>113</v>
      </c>
      <c r="B14" s="238"/>
      <c r="C14" s="97" t="s">
        <v>97</v>
      </c>
      <c r="D14" s="92"/>
    </row>
    <row r="15" spans="1:6" ht="21" x14ac:dyDescent="0.2">
      <c r="A15" s="96" t="s">
        <v>114</v>
      </c>
      <c r="B15" s="238"/>
      <c r="C15" s="97" t="s">
        <v>97</v>
      </c>
      <c r="D15" s="92"/>
    </row>
    <row r="16" spans="1:6" ht="21" x14ac:dyDescent="0.2">
      <c r="A16" s="96" t="s">
        <v>115</v>
      </c>
      <c r="B16" s="239"/>
      <c r="C16" s="97" t="s">
        <v>97</v>
      </c>
      <c r="D16" s="92"/>
    </row>
    <row r="17" spans="1:4" ht="21" x14ac:dyDescent="0.2">
      <c r="A17" s="96" t="s">
        <v>116</v>
      </c>
      <c r="B17" s="240"/>
      <c r="C17" s="97" t="s">
        <v>97</v>
      </c>
      <c r="D17" s="92"/>
    </row>
    <row r="19" spans="1:4" ht="24" x14ac:dyDescent="0.2">
      <c r="A19" s="384" t="s">
        <v>98</v>
      </c>
      <c r="B19" s="385"/>
      <c r="C19" s="385"/>
      <c r="D19" s="386" t="s">
        <v>91</v>
      </c>
    </row>
    <row r="20" spans="1:4" ht="147.75" customHeight="1" x14ac:dyDescent="0.2">
      <c r="A20" s="91" t="s">
        <v>120</v>
      </c>
      <c r="B20" s="375"/>
      <c r="C20" s="97" t="s">
        <v>97</v>
      </c>
      <c r="D20" s="91" t="s">
        <v>438</v>
      </c>
    </row>
    <row r="21" spans="1:4" ht="66" x14ac:dyDescent="0.2">
      <c r="A21" s="91" t="s">
        <v>371</v>
      </c>
      <c r="B21" s="280"/>
      <c r="C21" s="95" t="s">
        <v>121</v>
      </c>
      <c r="D21" s="91" t="s">
        <v>122</v>
      </c>
    </row>
    <row r="22" spans="1:4" ht="41.25" customHeight="1" x14ac:dyDescent="0.2">
      <c r="A22" s="91" t="s">
        <v>350</v>
      </c>
      <c r="B22" s="315">
        <f>ENERGY!C41/1000</f>
        <v>0</v>
      </c>
      <c r="C22" s="95" t="s">
        <v>123</v>
      </c>
      <c r="D22" s="91" t="s">
        <v>439</v>
      </c>
    </row>
    <row r="23" spans="1:4" ht="41.25" customHeight="1" x14ac:dyDescent="0.2">
      <c r="A23" s="91" t="s">
        <v>351</v>
      </c>
      <c r="B23" s="315">
        <f>ENERGY!C42/1000</f>
        <v>6.8146527777777788E-5</v>
      </c>
      <c r="C23" s="95" t="s">
        <v>123</v>
      </c>
      <c r="D23" s="91" t="s">
        <v>440</v>
      </c>
    </row>
    <row r="25" spans="1:4" ht="24" x14ac:dyDescent="0.2">
      <c r="A25" s="384" t="s">
        <v>125</v>
      </c>
      <c r="B25" s="385"/>
      <c r="C25" s="385"/>
      <c r="D25" s="386"/>
    </row>
    <row r="26" spans="1:4" ht="23.25" customHeight="1" x14ac:dyDescent="0.2">
      <c r="A26" s="91" t="s">
        <v>99</v>
      </c>
      <c r="B26" s="281" t="s">
        <v>428</v>
      </c>
      <c r="C26" s="95" t="s">
        <v>124</v>
      </c>
      <c r="D26" s="91" t="s">
        <v>424</v>
      </c>
    </row>
    <row r="27" spans="1:4" ht="29" customHeight="1" x14ac:dyDescent="0.2">
      <c r="A27" s="91" t="s">
        <v>100</v>
      </c>
      <c r="B27" s="281" t="s">
        <v>429</v>
      </c>
      <c r="C27" s="95" t="s">
        <v>124</v>
      </c>
      <c r="D27" s="91" t="s">
        <v>425</v>
      </c>
    </row>
    <row r="29" spans="1:4" ht="24" x14ac:dyDescent="0.2">
      <c r="A29" s="384" t="s">
        <v>126</v>
      </c>
      <c r="B29" s="385"/>
      <c r="C29" s="385"/>
      <c r="D29" s="386"/>
    </row>
    <row r="30" spans="1:4" ht="24" x14ac:dyDescent="0.2">
      <c r="A30" s="229" t="s">
        <v>420</v>
      </c>
      <c r="B30" s="381"/>
      <c r="C30" s="382" t="s">
        <v>97</v>
      </c>
      <c r="D30" s="383" t="s">
        <v>421</v>
      </c>
    </row>
    <row r="31" spans="1:4" ht="27" x14ac:dyDescent="0.2">
      <c r="A31" s="229" t="s">
        <v>230</v>
      </c>
      <c r="B31" s="282" t="s">
        <v>430</v>
      </c>
      <c r="C31" s="392" t="s">
        <v>124</v>
      </c>
      <c r="D31" s="392" t="s">
        <v>234</v>
      </c>
    </row>
    <row r="32" spans="1:4" ht="27" x14ac:dyDescent="0.2">
      <c r="A32" s="229" t="s">
        <v>231</v>
      </c>
      <c r="B32" s="282" t="s">
        <v>430</v>
      </c>
      <c r="C32" s="393"/>
      <c r="D32" s="393"/>
    </row>
    <row r="33" spans="1:6" ht="27" x14ac:dyDescent="0.2">
      <c r="A33" s="229" t="s">
        <v>232</v>
      </c>
      <c r="B33" s="282" t="s">
        <v>327</v>
      </c>
      <c r="C33" s="393"/>
      <c r="D33" s="393"/>
    </row>
    <row r="34" spans="1:6" ht="27" x14ac:dyDescent="0.2">
      <c r="A34" s="229" t="s">
        <v>233</v>
      </c>
      <c r="B34" s="282" t="s">
        <v>315</v>
      </c>
      <c r="C34" s="393"/>
      <c r="D34" s="393"/>
    </row>
    <row r="35" spans="1:6" ht="81" x14ac:dyDescent="0.2">
      <c r="A35" s="229" t="s">
        <v>359</v>
      </c>
      <c r="B35" s="282" t="s">
        <v>328</v>
      </c>
      <c r="C35" s="393"/>
      <c r="D35" s="393"/>
    </row>
    <row r="36" spans="1:6" ht="26" x14ac:dyDescent="0.2">
      <c r="A36" s="229" t="s">
        <v>263</v>
      </c>
      <c r="B36" s="376">
        <f>GHG!C68/3600</f>
        <v>2.2999999999999998</v>
      </c>
      <c r="C36" s="393"/>
      <c r="D36" s="393"/>
    </row>
    <row r="37" spans="1:6" ht="22" x14ac:dyDescent="0.2">
      <c r="A37" s="229" t="s">
        <v>306</v>
      </c>
      <c r="B37" s="269">
        <f>'BASIC DATA'!E5</f>
        <v>0.45</v>
      </c>
      <c r="C37" s="394"/>
      <c r="D37" s="394"/>
    </row>
    <row r="38" spans="1:6" ht="63.75" customHeight="1" x14ac:dyDescent="0.2">
      <c r="A38" s="91" t="s">
        <v>358</v>
      </c>
      <c r="B38" s="316">
        <f>GHG!E79*1000</f>
        <v>1000</v>
      </c>
      <c r="C38" s="95" t="s">
        <v>97</v>
      </c>
      <c r="D38" s="91" t="s">
        <v>441</v>
      </c>
    </row>
    <row r="39" spans="1:6" ht="108.75" customHeight="1" x14ac:dyDescent="0.2">
      <c r="A39" s="91" t="s">
        <v>127</v>
      </c>
      <c r="B39" s="283" t="s">
        <v>316</v>
      </c>
      <c r="C39" s="95" t="s">
        <v>97</v>
      </c>
      <c r="D39" s="91" t="s">
        <v>442</v>
      </c>
    </row>
    <row r="40" spans="1:6" ht="62.25" customHeight="1" x14ac:dyDescent="0.2">
      <c r="A40" s="91" t="s">
        <v>128</v>
      </c>
      <c r="B40" s="284" t="s">
        <v>317</v>
      </c>
      <c r="C40" s="95" t="s">
        <v>121</v>
      </c>
      <c r="D40" s="91" t="s">
        <v>443</v>
      </c>
    </row>
    <row r="41" spans="1:6" ht="62.25" customHeight="1" x14ac:dyDescent="0.2">
      <c r="A41" s="91" t="s">
        <v>422</v>
      </c>
      <c r="B41" s="284" t="s">
        <v>426</v>
      </c>
      <c r="C41" s="95" t="s">
        <v>124</v>
      </c>
      <c r="D41" s="91" t="s">
        <v>423</v>
      </c>
    </row>
    <row r="43" spans="1:6" ht="24" x14ac:dyDescent="0.2">
      <c r="A43" s="384" t="s">
        <v>101</v>
      </c>
      <c r="B43" s="385"/>
      <c r="C43" s="385"/>
      <c r="D43" s="386" t="s">
        <v>104</v>
      </c>
    </row>
    <row r="44" spans="1:6" s="89" customFormat="1" ht="50" x14ac:dyDescent="0.3">
      <c r="A44" s="93" t="s">
        <v>93</v>
      </c>
      <c r="B44" s="279" t="s">
        <v>311</v>
      </c>
      <c r="C44" s="94" t="s">
        <v>95</v>
      </c>
      <c r="D44" s="94" t="s">
        <v>140</v>
      </c>
      <c r="F44" s="233"/>
    </row>
    <row r="45" spans="1:6" ht="45" customHeight="1" x14ac:dyDescent="0.2">
      <c r="A45" s="92" t="s">
        <v>129</v>
      </c>
      <c r="B45" s="283" t="s">
        <v>314</v>
      </c>
      <c r="C45" s="228" t="s">
        <v>124</v>
      </c>
      <c r="D45" s="277" t="s">
        <v>360</v>
      </c>
    </row>
    <row r="46" spans="1:6" ht="45" customHeight="1" x14ac:dyDescent="0.2">
      <c r="A46" s="92" t="s">
        <v>451</v>
      </c>
      <c r="B46" s="283" t="s">
        <v>314</v>
      </c>
      <c r="C46" s="228" t="s">
        <v>124</v>
      </c>
      <c r="D46" s="277" t="s">
        <v>444</v>
      </c>
    </row>
    <row r="47" spans="1:6" s="98" customFormat="1" ht="45" customHeight="1" x14ac:dyDescent="0.2">
      <c r="A47" s="100" t="s">
        <v>452</v>
      </c>
      <c r="B47" s="283" t="s">
        <v>314</v>
      </c>
      <c r="C47" s="228" t="s">
        <v>124</v>
      </c>
      <c r="D47" s="277" t="s">
        <v>444</v>
      </c>
      <c r="F47" s="234"/>
    </row>
    <row r="48" spans="1:6" ht="45" customHeight="1" x14ac:dyDescent="0.2">
      <c r="A48" s="92" t="s">
        <v>453</v>
      </c>
      <c r="B48" s="283" t="s">
        <v>314</v>
      </c>
      <c r="C48" s="228" t="s">
        <v>124</v>
      </c>
      <c r="D48" s="277" t="s">
        <v>444</v>
      </c>
    </row>
    <row r="49" spans="1:4" ht="88" x14ac:dyDescent="0.2">
      <c r="A49" s="91" t="s">
        <v>454</v>
      </c>
      <c r="B49" s="283" t="s">
        <v>431</v>
      </c>
      <c r="C49" s="228" t="s">
        <v>434</v>
      </c>
      <c r="D49" s="377" t="s">
        <v>445</v>
      </c>
    </row>
    <row r="50" spans="1:4" ht="22" x14ac:dyDescent="0.2">
      <c r="A50" s="395" t="s">
        <v>130</v>
      </c>
      <c r="B50" s="270"/>
      <c r="C50" s="398" t="s">
        <v>434</v>
      </c>
      <c r="D50" s="235" t="s">
        <v>265</v>
      </c>
    </row>
    <row r="51" spans="1:4" ht="22" x14ac:dyDescent="0.2">
      <c r="A51" s="396"/>
      <c r="B51" s="270"/>
      <c r="C51" s="398"/>
      <c r="D51" s="235" t="s">
        <v>266</v>
      </c>
    </row>
    <row r="52" spans="1:4" ht="44" x14ac:dyDescent="0.2">
      <c r="A52" s="397"/>
      <c r="B52" s="270" t="s">
        <v>432</v>
      </c>
      <c r="C52" s="398"/>
      <c r="D52" s="378" t="s">
        <v>446</v>
      </c>
    </row>
    <row r="53" spans="1:4" ht="22" x14ac:dyDescent="0.2">
      <c r="A53" s="395" t="s">
        <v>455</v>
      </c>
      <c r="B53" s="241">
        <f>GHG!C131</f>
        <v>0.93640293001743047</v>
      </c>
      <c r="C53" s="398" t="s">
        <v>435</v>
      </c>
      <c r="D53" s="379" t="s">
        <v>377</v>
      </c>
    </row>
    <row r="54" spans="1:4" ht="22" x14ac:dyDescent="0.2">
      <c r="A54" s="396"/>
      <c r="B54" s="241">
        <f>GHG!C132</f>
        <v>0.94221318864543091</v>
      </c>
      <c r="C54" s="398"/>
      <c r="D54" s="379" t="s">
        <v>378</v>
      </c>
    </row>
    <row r="55" spans="1:4" ht="22" x14ac:dyDescent="0.2">
      <c r="A55" s="396"/>
      <c r="B55" s="270"/>
      <c r="C55" s="398"/>
      <c r="D55" s="235" t="s">
        <v>265</v>
      </c>
    </row>
    <row r="56" spans="1:4" ht="22" x14ac:dyDescent="0.2">
      <c r="A56" s="396"/>
      <c r="B56" s="270"/>
      <c r="C56" s="398"/>
      <c r="D56" s="235" t="s">
        <v>266</v>
      </c>
    </row>
    <row r="57" spans="1:4" ht="44" x14ac:dyDescent="0.2">
      <c r="A57" s="400"/>
      <c r="B57" s="270" t="s">
        <v>433</v>
      </c>
      <c r="C57" s="398"/>
      <c r="D57" s="378" t="s">
        <v>447</v>
      </c>
    </row>
    <row r="58" spans="1:4" ht="22" x14ac:dyDescent="0.2">
      <c r="A58" s="400"/>
      <c r="B58" s="270"/>
      <c r="C58" s="228" t="s">
        <v>434</v>
      </c>
      <c r="D58" s="378" t="s">
        <v>449</v>
      </c>
    </row>
    <row r="59" spans="1:4" ht="22" x14ac:dyDescent="0.2">
      <c r="A59" s="400"/>
      <c r="B59" s="270"/>
      <c r="C59" s="228" t="s">
        <v>119</v>
      </c>
      <c r="D59" s="235" t="s">
        <v>307</v>
      </c>
    </row>
    <row r="60" spans="1:4" ht="22" x14ac:dyDescent="0.2">
      <c r="A60" s="400"/>
      <c r="B60" s="270"/>
      <c r="C60" s="228" t="s">
        <v>434</v>
      </c>
      <c r="D60" s="378" t="s">
        <v>267</v>
      </c>
    </row>
    <row r="61" spans="1:4" ht="22" x14ac:dyDescent="0.2">
      <c r="A61" s="400"/>
      <c r="B61" s="270"/>
      <c r="C61" s="228" t="s">
        <v>119</v>
      </c>
      <c r="D61" s="378" t="s">
        <v>308</v>
      </c>
    </row>
    <row r="62" spans="1:4" ht="22" x14ac:dyDescent="0.2">
      <c r="A62" s="400"/>
      <c r="B62" s="270"/>
      <c r="C62" s="228" t="s">
        <v>434</v>
      </c>
      <c r="D62" s="378" t="s">
        <v>268</v>
      </c>
    </row>
    <row r="63" spans="1:4" ht="22" x14ac:dyDescent="0.2">
      <c r="A63" s="401"/>
      <c r="B63" s="270"/>
      <c r="C63" s="228" t="s">
        <v>119</v>
      </c>
      <c r="D63" s="235" t="s">
        <v>308</v>
      </c>
    </row>
    <row r="64" spans="1:4" ht="22" x14ac:dyDescent="0.2">
      <c r="A64" s="400" t="s">
        <v>131</v>
      </c>
      <c r="B64" s="270"/>
      <c r="C64" s="398" t="s">
        <v>434</v>
      </c>
      <c r="D64" s="235" t="s">
        <v>265</v>
      </c>
    </row>
    <row r="65" spans="1:4" ht="22" x14ac:dyDescent="0.2">
      <c r="A65" s="400"/>
      <c r="B65" s="270"/>
      <c r="C65" s="398"/>
      <c r="D65" s="235" t="s">
        <v>266</v>
      </c>
    </row>
    <row r="66" spans="1:4" ht="44" x14ac:dyDescent="0.2">
      <c r="A66" s="400"/>
      <c r="B66" s="270" t="s">
        <v>433</v>
      </c>
      <c r="C66" s="398"/>
      <c r="D66" s="378" t="s">
        <v>448</v>
      </c>
    </row>
    <row r="67" spans="1:4" ht="22" x14ac:dyDescent="0.2">
      <c r="A67" s="399" t="s">
        <v>132</v>
      </c>
      <c r="B67" s="270"/>
      <c r="C67" s="398" t="s">
        <v>434</v>
      </c>
      <c r="D67" s="235" t="s">
        <v>265</v>
      </c>
    </row>
    <row r="68" spans="1:4" ht="22" x14ac:dyDescent="0.2">
      <c r="A68" s="400"/>
      <c r="B68" s="270"/>
      <c r="C68" s="398"/>
      <c r="D68" s="235" t="s">
        <v>266</v>
      </c>
    </row>
    <row r="69" spans="1:4" ht="45" thickBot="1" x14ac:dyDescent="0.25">
      <c r="A69" s="400"/>
      <c r="B69" s="270" t="s">
        <v>432</v>
      </c>
      <c r="C69" s="402"/>
      <c r="D69" s="380" t="s">
        <v>450</v>
      </c>
    </row>
    <row r="70" spans="1:4" ht="5" customHeight="1" x14ac:dyDescent="0.2">
      <c r="A70" s="88" t="s">
        <v>235</v>
      </c>
      <c r="B70" s="90" t="s">
        <v>236</v>
      </c>
      <c r="C70" s="90" t="s">
        <v>237</v>
      </c>
      <c r="D70" s="90" t="s">
        <v>238</v>
      </c>
    </row>
    <row r="71" spans="1:4" ht="12.5" customHeight="1" x14ac:dyDescent="0.2">
      <c r="A71" s="230"/>
      <c r="B71" s="231"/>
      <c r="C71" s="228"/>
      <c r="D71" s="232"/>
    </row>
    <row r="72" spans="1:4" ht="24" x14ac:dyDescent="0.2">
      <c r="A72" s="384" t="s">
        <v>133</v>
      </c>
      <c r="B72" s="385" t="s">
        <v>103</v>
      </c>
      <c r="C72" s="385"/>
      <c r="D72" s="386"/>
    </row>
    <row r="73" spans="1:4" ht="24" x14ac:dyDescent="0.2">
      <c r="A73" s="387" t="s">
        <v>134</v>
      </c>
      <c r="B73" s="387"/>
      <c r="C73" s="387"/>
      <c r="D73" s="387"/>
    </row>
    <row r="74" spans="1:4" ht="26" x14ac:dyDescent="0.2">
      <c r="A74" s="310" t="s">
        <v>109</v>
      </c>
      <c r="B74" s="285"/>
      <c r="C74" s="388" t="s">
        <v>366</v>
      </c>
      <c r="D74" s="311" t="s">
        <v>321</v>
      </c>
    </row>
    <row r="75" spans="1:4" ht="26" x14ac:dyDescent="0.2">
      <c r="A75" s="310" t="s">
        <v>110</v>
      </c>
      <c r="B75" s="286"/>
      <c r="C75" s="389"/>
      <c r="D75" s="311" t="s">
        <v>322</v>
      </c>
    </row>
    <row r="76" spans="1:4" ht="26" x14ac:dyDescent="0.2">
      <c r="A76" s="310" t="s">
        <v>111</v>
      </c>
      <c r="B76" s="285"/>
      <c r="C76" s="389"/>
      <c r="D76" s="311" t="s">
        <v>323</v>
      </c>
    </row>
    <row r="77" spans="1:4" ht="26" x14ac:dyDescent="0.2">
      <c r="A77" s="310" t="s">
        <v>112</v>
      </c>
      <c r="B77" s="285"/>
      <c r="C77" s="389"/>
      <c r="D77" s="311" t="s">
        <v>324</v>
      </c>
    </row>
    <row r="78" spans="1:4" ht="26" x14ac:dyDescent="0.2">
      <c r="A78" s="310" t="s">
        <v>113</v>
      </c>
      <c r="B78" s="285"/>
      <c r="C78" s="389"/>
      <c r="D78" s="311" t="s">
        <v>113</v>
      </c>
    </row>
    <row r="79" spans="1:4" ht="26" x14ac:dyDescent="0.2">
      <c r="A79" s="310" t="s">
        <v>135</v>
      </c>
      <c r="B79" s="287"/>
      <c r="C79" s="389"/>
      <c r="D79" s="311"/>
    </row>
    <row r="80" spans="1:4" ht="26" x14ac:dyDescent="0.2">
      <c r="A80" s="310" t="s">
        <v>136</v>
      </c>
      <c r="B80" s="285"/>
      <c r="C80" s="389"/>
      <c r="D80" s="311"/>
    </row>
    <row r="81" spans="1:4" ht="26" x14ac:dyDescent="0.2">
      <c r="A81" s="310" t="s">
        <v>137</v>
      </c>
      <c r="B81" s="286"/>
      <c r="C81" s="389"/>
      <c r="D81" s="311"/>
    </row>
    <row r="82" spans="1:4" ht="22" x14ac:dyDescent="0.2">
      <c r="A82" s="310" t="s">
        <v>138</v>
      </c>
      <c r="B82" s="312"/>
      <c r="C82" s="389"/>
      <c r="D82" s="311"/>
    </row>
    <row r="83" spans="1:4" ht="183" customHeight="1" x14ac:dyDescent="0.2">
      <c r="A83" s="310" t="s">
        <v>325</v>
      </c>
      <c r="B83" s="310"/>
      <c r="C83" s="313"/>
      <c r="D83" s="311"/>
    </row>
    <row r="118" spans="1:4" ht="130" hidden="1" customHeight="1" x14ac:dyDescent="0.2">
      <c r="A118" s="99" t="s">
        <v>93</v>
      </c>
      <c r="B118" s="95" t="s">
        <v>94</v>
      </c>
      <c r="C118" s="95" t="s">
        <v>95</v>
      </c>
      <c r="D118" s="99" t="s">
        <v>102</v>
      </c>
    </row>
  </sheetData>
  <protectedRanges>
    <protectedRange sqref="D71 D118 D66 D69 D57:D63 C45:C52 D52:D54" name="Sustainability criteria"/>
    <protectedRange sqref="C31:D31 C33:D37 C26:C27" name="Advice from OVAM"/>
    <protectedRange sqref="D10 B10:B16 D13:D17" name="Biomass Producer"/>
    <protectedRange sqref="B5:B7" name="Header of the Biomass Report"/>
    <protectedRange sqref="D20:D23 D26:D27" name="Production chain identification"/>
    <protectedRange sqref="B38 A37:D37 A31:A36 C31:D31 C33:D36 D38:D41" name="Identification of biomass"/>
    <protectedRange sqref="E6" name="Header of the Biomass Report_1"/>
    <protectedRange sqref="D5:D6" name="Header of the Biomass Report_1_1"/>
    <protectedRange sqref="D45:D49" name="Sustainability criteria_1"/>
    <protectedRange sqref="B21" name="Production chain identification_1"/>
    <protectedRange sqref="B20" name="Production chain identification_1_1"/>
    <protectedRange sqref="B26:B27" name="Advice from OVAM_1"/>
    <protectedRange sqref="B31:B36" name="Identification of biomass_1"/>
    <protectedRange sqref="B45:B49" name="Sustainability criteria_2"/>
    <protectedRange sqref="B39:B41" name="Identification of biomass_2"/>
    <protectedRange sqref="B74:B82" name="Footer"/>
    <protectedRange sqref="D11" name="Biomass Producer_2"/>
    <protectedRange sqref="D12" name="Biomass Producer_2_1"/>
  </protectedRanges>
  <mergeCells count="21">
    <mergeCell ref="A53:A63"/>
    <mergeCell ref="A64:A66"/>
    <mergeCell ref="C53:C57"/>
    <mergeCell ref="C64:C66"/>
    <mergeCell ref="C67:C69"/>
    <mergeCell ref="A43:D43"/>
    <mergeCell ref="A72:D72"/>
    <mergeCell ref="A73:D73"/>
    <mergeCell ref="C74:C82"/>
    <mergeCell ref="A1:D1"/>
    <mergeCell ref="A2:D2"/>
    <mergeCell ref="A9:D9"/>
    <mergeCell ref="A4:D4"/>
    <mergeCell ref="A19:D19"/>
    <mergeCell ref="A25:D25"/>
    <mergeCell ref="A29:D29"/>
    <mergeCell ref="D31:D37"/>
    <mergeCell ref="C31:C37"/>
    <mergeCell ref="A50:A52"/>
    <mergeCell ref="C50:C52"/>
    <mergeCell ref="A67:A69"/>
  </mergeCells>
  <phoneticPr fontId="46" type="noConversion"/>
  <pageMargins left="0.51181102362204722" right="0.51181102362204722" top="0.74803149606299213" bottom="0.74803149606299213" header="0.31496062992125984" footer="0.31496062992125984"/>
  <pageSetup paperSize="9" scale="31" orientation="portrait" horizontalDpi="30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6"/>
  <sheetViews>
    <sheetView zoomScale="85" zoomScaleNormal="85" workbookViewId="0">
      <selection activeCell="E7" sqref="E7"/>
    </sheetView>
  </sheetViews>
  <sheetFormatPr baseColWidth="10" defaultColWidth="9.1640625" defaultRowHeight="13" x14ac:dyDescent="0.15"/>
  <cols>
    <col min="1" max="1" width="38.6640625" style="20" customWidth="1"/>
    <col min="2" max="2" width="7.33203125" style="20" customWidth="1"/>
    <col min="3" max="3" width="19.5" style="23" customWidth="1"/>
    <col min="4" max="4" width="18.33203125" style="24" customWidth="1"/>
    <col min="5" max="5" width="13.33203125" style="22" customWidth="1"/>
    <col min="6" max="6" width="47.83203125" style="2" bestFit="1" customWidth="1"/>
    <col min="7" max="7" width="5.6640625" style="3" customWidth="1"/>
    <col min="8" max="8" width="21.83203125" style="3" customWidth="1"/>
    <col min="9" max="9" width="9.1640625" style="3"/>
    <col min="10" max="10" width="14" style="3" customWidth="1"/>
    <col min="11" max="11" width="16" style="3" customWidth="1"/>
    <col min="12" max="16384" width="9.1640625" style="3"/>
  </cols>
  <sheetData>
    <row r="1" spans="1:9" ht="20" x14ac:dyDescent="0.2">
      <c r="A1" s="409" t="s">
        <v>369</v>
      </c>
      <c r="B1" s="409"/>
      <c r="C1" s="409"/>
      <c r="D1" s="409"/>
    </row>
    <row r="2" spans="1:9" ht="20" x14ac:dyDescent="0.2">
      <c r="A2" s="339"/>
      <c r="B2" s="339"/>
      <c r="C2" s="339"/>
      <c r="D2" s="339"/>
    </row>
    <row r="3" spans="1:9" ht="15.75" customHeight="1" x14ac:dyDescent="0.2">
      <c r="A3" s="25" t="s">
        <v>0</v>
      </c>
      <c r="D3" s="26"/>
      <c r="E3" s="27"/>
      <c r="F3" s="17"/>
    </row>
    <row r="4" spans="1:9" ht="14.25" customHeight="1" x14ac:dyDescent="0.15">
      <c r="A4" s="406" t="s">
        <v>28</v>
      </c>
      <c r="B4" s="407"/>
      <c r="C4" s="408"/>
      <c r="D4" s="122" t="s">
        <v>196</v>
      </c>
      <c r="E4" s="318">
        <f>GHG!G77/100</f>
        <v>0</v>
      </c>
      <c r="F4" s="122" t="s">
        <v>27</v>
      </c>
    </row>
    <row r="5" spans="1:9" ht="14.25" customHeight="1" x14ac:dyDescent="0.15">
      <c r="A5" s="341"/>
      <c r="B5" s="342"/>
      <c r="C5" s="343"/>
      <c r="D5" s="125" t="s">
        <v>197</v>
      </c>
      <c r="E5" s="126">
        <v>0.45</v>
      </c>
      <c r="F5" s="124" t="s">
        <v>361</v>
      </c>
    </row>
    <row r="6" spans="1:9" s="2" customFormat="1" ht="22.5" customHeight="1" x14ac:dyDescent="0.15">
      <c r="A6" s="403" t="s">
        <v>9</v>
      </c>
      <c r="B6" s="404"/>
      <c r="C6" s="405"/>
      <c r="D6" s="65" t="s">
        <v>10</v>
      </c>
      <c r="E6" s="71">
        <f>(1-E4)/(1-E5)</f>
        <v>1.8181818181818181</v>
      </c>
      <c r="F6" s="127" t="s">
        <v>262</v>
      </c>
    </row>
    <row r="7" spans="1:9" ht="15" customHeight="1" x14ac:dyDescent="0.15">
      <c r="A7" s="47" t="s">
        <v>1</v>
      </c>
      <c r="B7" s="48"/>
      <c r="C7" s="76" t="s">
        <v>65</v>
      </c>
      <c r="D7" s="6" t="s">
        <v>193</v>
      </c>
      <c r="E7" s="273">
        <f>GHG!D77</f>
        <v>1</v>
      </c>
      <c r="F7" s="29" t="s">
        <v>2</v>
      </c>
    </row>
    <row r="8" spans="1:9" ht="15" customHeight="1" x14ac:dyDescent="0.15">
      <c r="A8" s="28"/>
      <c r="B8" s="48"/>
      <c r="C8" s="74" t="s">
        <v>43</v>
      </c>
      <c r="D8" s="6" t="s">
        <v>189</v>
      </c>
      <c r="E8" s="221">
        <f>GHG!$C$51</f>
        <v>0.81100000000000005</v>
      </c>
      <c r="F8" s="29" t="s">
        <v>44</v>
      </c>
    </row>
    <row r="9" spans="1:9" ht="15" customHeight="1" x14ac:dyDescent="0.15">
      <c r="A9" s="28"/>
      <c r="B9" s="48"/>
      <c r="C9" s="74"/>
      <c r="D9" s="6" t="s">
        <v>90</v>
      </c>
      <c r="E9" s="130">
        <f>E7*E8/3.6</f>
        <v>0.2252777777777778</v>
      </c>
      <c r="F9" s="29" t="s">
        <v>163</v>
      </c>
    </row>
    <row r="10" spans="1:9" ht="15" customHeight="1" x14ac:dyDescent="0.15">
      <c r="A10" s="47" t="s">
        <v>4</v>
      </c>
      <c r="B10" s="62"/>
      <c r="C10" s="76" t="s">
        <v>65</v>
      </c>
      <c r="D10" s="6" t="s">
        <v>275</v>
      </c>
      <c r="E10" s="68">
        <v>0</v>
      </c>
      <c r="F10" s="132" t="s">
        <v>2</v>
      </c>
    </row>
    <row r="11" spans="1:9" ht="15" customHeight="1" x14ac:dyDescent="0.15">
      <c r="A11" s="28"/>
      <c r="B11" s="48"/>
      <c r="C11" s="74" t="s">
        <v>43</v>
      </c>
      <c r="D11" s="6" t="s">
        <v>190</v>
      </c>
      <c r="E11" s="221">
        <f>GHG!$C$49</f>
        <v>0.252</v>
      </c>
      <c r="F11" s="29" t="s">
        <v>44</v>
      </c>
    </row>
    <row r="12" spans="1:9" ht="15" customHeight="1" x14ac:dyDescent="0.15">
      <c r="A12" s="28"/>
      <c r="B12" s="48"/>
      <c r="C12" s="74"/>
      <c r="D12" s="6" t="s">
        <v>83</v>
      </c>
      <c r="E12" s="130">
        <f>E10*E11/3.6</f>
        <v>0</v>
      </c>
      <c r="F12" s="29" t="s">
        <v>163</v>
      </c>
    </row>
    <row r="13" spans="1:9" ht="15" customHeight="1" x14ac:dyDescent="0.15">
      <c r="A13" s="47" t="s">
        <v>18</v>
      </c>
      <c r="B13" s="62"/>
      <c r="C13" s="63"/>
      <c r="D13" s="6" t="s">
        <v>276</v>
      </c>
      <c r="E13" s="68">
        <v>0</v>
      </c>
      <c r="F13" s="132" t="s">
        <v>2</v>
      </c>
    </row>
    <row r="14" spans="1:9" ht="15" customHeight="1" x14ac:dyDescent="0.15">
      <c r="A14" s="28"/>
      <c r="B14" s="48"/>
      <c r="C14" s="74" t="s">
        <v>43</v>
      </c>
      <c r="D14" s="6" t="s">
        <v>191</v>
      </c>
      <c r="E14" s="219">
        <f>GHG!$C$50</f>
        <v>0.21</v>
      </c>
      <c r="F14" s="29" t="s">
        <v>44</v>
      </c>
    </row>
    <row r="15" spans="1:9" ht="15" customHeight="1" x14ac:dyDescent="0.15">
      <c r="A15" s="28"/>
      <c r="B15" s="48"/>
      <c r="C15" s="74"/>
      <c r="D15" s="6" t="s">
        <v>194</v>
      </c>
      <c r="E15" s="130">
        <f>E13*E14/3.6</f>
        <v>0</v>
      </c>
      <c r="F15" s="29" t="s">
        <v>163</v>
      </c>
    </row>
    <row r="16" spans="1:9" ht="14.25" customHeight="1" x14ac:dyDescent="0.15">
      <c r="A16" s="47" t="s">
        <v>139</v>
      </c>
      <c r="B16" s="62"/>
      <c r="C16" s="63"/>
      <c r="D16" s="6" t="s">
        <v>274</v>
      </c>
      <c r="E16" s="68">
        <v>0</v>
      </c>
      <c r="F16" s="132" t="s">
        <v>2</v>
      </c>
      <c r="I16"/>
    </row>
    <row r="17" spans="1:10" ht="15" customHeight="1" x14ac:dyDescent="0.15">
      <c r="A17" s="28"/>
      <c r="B17" s="48"/>
      <c r="C17" s="74" t="s">
        <v>43</v>
      </c>
      <c r="D17" s="6" t="s">
        <v>192</v>
      </c>
      <c r="E17" s="221">
        <f>GHG!$C$48</f>
        <v>0.32400000000000001</v>
      </c>
      <c r="F17" s="29" t="s">
        <v>44</v>
      </c>
    </row>
    <row r="18" spans="1:10" ht="15" customHeight="1" x14ac:dyDescent="0.15">
      <c r="A18" s="28"/>
      <c r="B18" s="48"/>
      <c r="C18" s="74"/>
      <c r="D18" s="6" t="s">
        <v>85</v>
      </c>
      <c r="E18" s="133">
        <f>E16*E17/3.6</f>
        <v>0</v>
      </c>
      <c r="F18" s="29" t="s">
        <v>163</v>
      </c>
    </row>
    <row r="19" spans="1:10" ht="15" customHeight="1" x14ac:dyDescent="0.15">
      <c r="A19" s="134"/>
      <c r="B19" s="135"/>
      <c r="C19" s="135"/>
      <c r="D19" s="120"/>
      <c r="E19" s="136"/>
      <c r="F19" s="137"/>
      <c r="H19"/>
      <c r="I19"/>
    </row>
    <row r="20" spans="1:10" ht="15" customHeight="1" x14ac:dyDescent="0.15">
      <c r="A20" s="128"/>
      <c r="B20" s="131"/>
      <c r="C20" s="131"/>
      <c r="D20" s="138"/>
      <c r="E20" s="139"/>
      <c r="F20" s="140"/>
      <c r="H20"/>
      <c r="I20"/>
      <c r="J20" s="340"/>
    </row>
    <row r="21" spans="1:10" ht="15" customHeight="1" x14ac:dyDescent="0.15">
      <c r="A21" s="141" t="s">
        <v>82</v>
      </c>
      <c r="B21" s="129"/>
      <c r="C21" s="142" t="s">
        <v>23</v>
      </c>
      <c r="D21" s="143" t="s">
        <v>195</v>
      </c>
      <c r="E21" s="144">
        <f>E9+E12+E18</f>
        <v>0.2252777777777778</v>
      </c>
      <c r="F21" s="125" t="s">
        <v>163</v>
      </c>
      <c r="H21"/>
      <c r="I21"/>
    </row>
    <row r="22" spans="1:10" ht="15" customHeight="1" x14ac:dyDescent="0.15">
      <c r="A22" s="145"/>
      <c r="B22" s="146"/>
      <c r="C22" s="146"/>
      <c r="D22" s="65"/>
      <c r="E22" s="130"/>
      <c r="F22" s="147"/>
      <c r="H22"/>
      <c r="I22"/>
    </row>
    <row r="23" spans="1:10" ht="27.75" customHeight="1" x14ac:dyDescent="0.2">
      <c r="A23" s="25" t="s">
        <v>362</v>
      </c>
      <c r="C23" s="20"/>
      <c r="D23" s="31"/>
      <c r="E23" s="32"/>
      <c r="F23" s="17"/>
    </row>
    <row r="24" spans="1:10" ht="18.5" customHeight="1" x14ac:dyDescent="0.2">
      <c r="A24" s="25"/>
      <c r="C24" s="20"/>
      <c r="D24" s="289" t="s">
        <v>318</v>
      </c>
      <c r="E24" s="290"/>
      <c r="F24" s="291" t="s">
        <v>319</v>
      </c>
    </row>
    <row r="25" spans="1:10" ht="14.25" customHeight="1" x14ac:dyDescent="0.15">
      <c r="A25" s="72" t="s">
        <v>12</v>
      </c>
      <c r="B25" s="72"/>
      <c r="C25" s="72"/>
      <c r="D25" s="4" t="s">
        <v>278</v>
      </c>
      <c r="E25" s="314">
        <f>E24/GHG!$D$79</f>
        <v>0</v>
      </c>
      <c r="F25" s="156" t="s">
        <v>348</v>
      </c>
    </row>
    <row r="26" spans="1:10" ht="15" customHeight="1" x14ac:dyDescent="0.15">
      <c r="A26" s="48"/>
      <c r="B26" s="48"/>
      <c r="C26" s="236"/>
      <c r="D26" s="45" t="s">
        <v>152</v>
      </c>
      <c r="E26" s="107"/>
      <c r="F26" s="5"/>
    </row>
    <row r="27" spans="1:10" ht="15" customHeight="1" x14ac:dyDescent="0.15">
      <c r="A27" s="48"/>
      <c r="B27" s="48"/>
      <c r="C27" s="236"/>
      <c r="D27" s="104" t="s">
        <v>153</v>
      </c>
      <c r="E27" s="70"/>
      <c r="F27" s="7" t="s">
        <v>144</v>
      </c>
    </row>
    <row r="28" spans="1:10" ht="15" customHeight="1" x14ac:dyDescent="0.15">
      <c r="A28" s="48"/>
      <c r="B28" s="48"/>
      <c r="C28" s="236"/>
      <c r="D28" s="104" t="s">
        <v>154</v>
      </c>
      <c r="E28" s="70"/>
      <c r="F28" s="7" t="s">
        <v>155</v>
      </c>
    </row>
    <row r="29" spans="1:10" ht="12.75" customHeight="1" x14ac:dyDescent="0.15">
      <c r="A29" s="48"/>
      <c r="B29" s="48"/>
      <c r="C29" s="236"/>
      <c r="D29" s="33" t="s">
        <v>159</v>
      </c>
      <c r="E29" s="85">
        <f>E27/GHG!$D$79</f>
        <v>0</v>
      </c>
      <c r="F29" s="7" t="s">
        <v>172</v>
      </c>
    </row>
    <row r="30" spans="1:10" ht="12.75" customHeight="1" x14ac:dyDescent="0.15">
      <c r="A30" s="48"/>
      <c r="B30" s="48"/>
      <c r="C30" s="236"/>
      <c r="D30" s="33" t="s">
        <v>160</v>
      </c>
      <c r="E30" s="85">
        <f>E28/GHG!$D$79</f>
        <v>0</v>
      </c>
      <c r="F30" s="7" t="s">
        <v>173</v>
      </c>
    </row>
    <row r="31" spans="1:10" ht="12.75" customHeight="1" x14ac:dyDescent="0.15">
      <c r="A31" s="48"/>
      <c r="B31" s="48"/>
      <c r="C31" s="236"/>
      <c r="D31" s="33" t="s">
        <v>156</v>
      </c>
      <c r="E31" s="220">
        <f>GHG!C33</f>
        <v>43.1</v>
      </c>
      <c r="F31" s="7" t="s">
        <v>30</v>
      </c>
    </row>
    <row r="32" spans="1:10" ht="12.75" customHeight="1" x14ac:dyDescent="0.15">
      <c r="A32" s="48"/>
      <c r="B32" s="48"/>
      <c r="C32" s="236"/>
      <c r="D32" s="33" t="s">
        <v>157</v>
      </c>
      <c r="E32" s="220">
        <f>GHG!C32</f>
        <v>35.9</v>
      </c>
      <c r="F32" s="7" t="s">
        <v>29</v>
      </c>
    </row>
    <row r="33" spans="1:6" ht="12.75" customHeight="1" x14ac:dyDescent="0.15">
      <c r="A33" s="48"/>
      <c r="B33" s="48"/>
      <c r="C33" s="236"/>
      <c r="D33" s="33" t="s">
        <v>158</v>
      </c>
      <c r="E33" s="86">
        <f>E29*E31/3.6+E30*E32/3.6</f>
        <v>0</v>
      </c>
      <c r="F33" s="156" t="s">
        <v>347</v>
      </c>
    </row>
    <row r="34" spans="1:6" ht="14.25" customHeight="1" x14ac:dyDescent="0.15">
      <c r="A34" s="48"/>
      <c r="B34" s="48"/>
      <c r="C34" s="236"/>
      <c r="D34" s="45" t="s">
        <v>165</v>
      </c>
      <c r="E34" s="107"/>
      <c r="F34" s="5"/>
    </row>
    <row r="35" spans="1:6" ht="14.25" customHeight="1" x14ac:dyDescent="0.15">
      <c r="A35" s="48"/>
      <c r="B35" s="48"/>
      <c r="C35" s="236"/>
      <c r="D35" s="6" t="s">
        <v>239</v>
      </c>
      <c r="E35" s="105"/>
      <c r="F35" s="7" t="s">
        <v>155</v>
      </c>
    </row>
    <row r="36" spans="1:6" ht="14.25" customHeight="1" x14ac:dyDescent="0.15">
      <c r="A36" s="48"/>
      <c r="B36" s="48"/>
      <c r="C36" s="236"/>
      <c r="D36" s="6" t="s">
        <v>240</v>
      </c>
      <c r="E36" s="85">
        <f>E35/GHG!$D$79</f>
        <v>0</v>
      </c>
      <c r="F36" s="7" t="s">
        <v>175</v>
      </c>
    </row>
    <row r="37" spans="1:6" ht="14.25" customHeight="1" x14ac:dyDescent="0.15">
      <c r="A37" s="48"/>
      <c r="B37" s="48"/>
      <c r="C37" s="236"/>
      <c r="D37" s="6" t="s">
        <v>241</v>
      </c>
      <c r="E37" s="220">
        <f>GHG!C34</f>
        <v>32.200000000000003</v>
      </c>
      <c r="F37" s="7" t="s">
        <v>29</v>
      </c>
    </row>
    <row r="38" spans="1:6" ht="14.25" customHeight="1" x14ac:dyDescent="0.15">
      <c r="A38" s="48"/>
      <c r="B38" s="48"/>
      <c r="C38" s="236"/>
      <c r="D38" s="106" t="s">
        <v>161</v>
      </c>
      <c r="E38" s="66">
        <f>E36*E37/3.6</f>
        <v>0</v>
      </c>
      <c r="F38" s="156" t="s">
        <v>347</v>
      </c>
    </row>
    <row r="39" spans="1:6" ht="15" customHeight="1" x14ac:dyDescent="0.15">
      <c r="A39" s="48"/>
      <c r="B39" s="48"/>
      <c r="C39" s="236"/>
      <c r="D39" s="45" t="s">
        <v>164</v>
      </c>
      <c r="E39" s="75"/>
      <c r="F39" s="7"/>
    </row>
    <row r="40" spans="1:6" ht="15" customHeight="1" x14ac:dyDescent="0.15">
      <c r="A40" s="48"/>
      <c r="B40" s="48"/>
      <c r="C40" s="236"/>
      <c r="D40" s="104" t="s">
        <v>184</v>
      </c>
      <c r="E40" s="73"/>
      <c r="F40" s="7" t="s">
        <v>162</v>
      </c>
    </row>
    <row r="41" spans="1:6" ht="15" customHeight="1" x14ac:dyDescent="0.15">
      <c r="A41" s="48"/>
      <c r="B41" s="48"/>
      <c r="C41" s="236"/>
      <c r="D41" s="104" t="s">
        <v>183</v>
      </c>
      <c r="E41" s="303">
        <f>E40/GHG!$D$79</f>
        <v>0</v>
      </c>
      <c r="F41" s="7" t="s">
        <v>185</v>
      </c>
    </row>
    <row r="42" spans="1:6" ht="15" customHeight="1" x14ac:dyDescent="0.15">
      <c r="A42" s="48"/>
      <c r="B42" s="48"/>
      <c r="C42" s="236"/>
      <c r="D42" s="104" t="s">
        <v>186</v>
      </c>
      <c r="E42" s="73"/>
      <c r="F42" s="7" t="s">
        <v>187</v>
      </c>
    </row>
    <row r="43" spans="1:6" ht="15" customHeight="1" x14ac:dyDescent="0.15">
      <c r="A43" s="48"/>
      <c r="B43" s="48"/>
      <c r="C43" s="236"/>
      <c r="D43" s="33" t="s">
        <v>182</v>
      </c>
      <c r="E43" s="220">
        <f>GHG!C35</f>
        <v>36.1</v>
      </c>
      <c r="F43" s="7" t="s">
        <v>188</v>
      </c>
    </row>
    <row r="44" spans="1:6" ht="12.75" customHeight="1" x14ac:dyDescent="0.15">
      <c r="A44" s="48"/>
      <c r="B44" s="48"/>
      <c r="C44" s="236"/>
      <c r="D44" s="33" t="s">
        <v>181</v>
      </c>
      <c r="E44" s="66">
        <f>IF(E42="",E41*E43/3.6,E42/3.6)</f>
        <v>0</v>
      </c>
      <c r="F44" s="156" t="s">
        <v>347</v>
      </c>
    </row>
    <row r="45" spans="1:6" ht="12.75" customHeight="1" x14ac:dyDescent="0.15">
      <c r="A45" s="48"/>
      <c r="B45" s="48"/>
      <c r="C45" s="236"/>
      <c r="D45" s="45" t="s">
        <v>142</v>
      </c>
      <c r="E45" s="67"/>
      <c r="F45" s="5"/>
    </row>
    <row r="46" spans="1:6" ht="14.25" customHeight="1" x14ac:dyDescent="0.15">
      <c r="A46" s="48"/>
      <c r="B46" s="48"/>
      <c r="C46" s="236"/>
      <c r="D46" s="33" t="s">
        <v>242</v>
      </c>
      <c r="E46" s="70"/>
      <c r="F46" s="7" t="s">
        <v>144</v>
      </c>
    </row>
    <row r="47" spans="1:6" ht="14.25" customHeight="1" x14ac:dyDescent="0.15">
      <c r="A47" s="48"/>
      <c r="B47" s="48"/>
      <c r="C47" s="236"/>
      <c r="D47" s="33" t="s">
        <v>243</v>
      </c>
      <c r="E47" s="70"/>
      <c r="F47" s="7" t="s">
        <v>176</v>
      </c>
    </row>
    <row r="48" spans="1:6" ht="14.25" customHeight="1" x14ac:dyDescent="0.15">
      <c r="A48" s="48"/>
      <c r="B48" s="48"/>
      <c r="C48" s="236"/>
      <c r="D48" s="33" t="s">
        <v>244</v>
      </c>
      <c r="E48" s="70"/>
      <c r="F48" s="7" t="s">
        <v>180</v>
      </c>
    </row>
    <row r="49" spans="1:6" ht="13.5" customHeight="1" x14ac:dyDescent="0.15">
      <c r="A49" s="48"/>
      <c r="B49" s="48"/>
      <c r="C49" s="236"/>
      <c r="D49" s="33" t="s">
        <v>245</v>
      </c>
      <c r="E49" s="303">
        <f>$E$46/GHG!$D$79</f>
        <v>0</v>
      </c>
      <c r="F49" s="7" t="s">
        <v>172</v>
      </c>
    </row>
    <row r="50" spans="1:6" ht="13.5" customHeight="1" x14ac:dyDescent="0.15">
      <c r="A50" s="48"/>
      <c r="B50" s="48"/>
      <c r="C50" s="236"/>
      <c r="D50" s="33" t="s">
        <v>246</v>
      </c>
      <c r="E50" s="85">
        <f>$E$47/GHG!$D$79</f>
        <v>0</v>
      </c>
      <c r="F50" s="7" t="s">
        <v>174</v>
      </c>
    </row>
    <row r="51" spans="1:6" ht="13.5" customHeight="1" x14ac:dyDescent="0.15">
      <c r="A51" s="48"/>
      <c r="B51" s="48"/>
      <c r="C51" s="236"/>
      <c r="D51" s="33" t="s">
        <v>247</v>
      </c>
      <c r="E51" s="85">
        <f>$E$48/GHG!$D$79</f>
        <v>0</v>
      </c>
      <c r="F51" s="7" t="s">
        <v>173</v>
      </c>
    </row>
    <row r="52" spans="1:6" ht="13.5" customHeight="1" x14ac:dyDescent="0.15">
      <c r="A52" s="48"/>
      <c r="B52" s="48"/>
      <c r="C52" s="236"/>
      <c r="D52" s="33" t="s">
        <v>248</v>
      </c>
      <c r="E52" s="220">
        <f>GHG!C36</f>
        <v>46.4</v>
      </c>
      <c r="F52" s="7" t="s">
        <v>30</v>
      </c>
    </row>
    <row r="53" spans="1:6" ht="13.5" customHeight="1" x14ac:dyDescent="0.15">
      <c r="A53" s="48"/>
      <c r="B53" s="48"/>
      <c r="C53" s="236"/>
      <c r="D53" s="33" t="s">
        <v>249</v>
      </c>
      <c r="E53" s="220">
        <f>GHG!C38</f>
        <v>88.6</v>
      </c>
      <c r="F53" s="7" t="s">
        <v>146</v>
      </c>
    </row>
    <row r="54" spans="1:6" ht="13.5" customHeight="1" x14ac:dyDescent="0.15">
      <c r="A54" s="48"/>
      <c r="B54" s="48"/>
      <c r="C54" s="236"/>
      <c r="D54" s="33" t="s">
        <v>250</v>
      </c>
      <c r="E54" s="220">
        <f>GHG!C37</f>
        <v>27.1</v>
      </c>
      <c r="F54" s="7" t="s">
        <v>29</v>
      </c>
    </row>
    <row r="55" spans="1:6" ht="13.5" customHeight="1" x14ac:dyDescent="0.15">
      <c r="A55" s="48"/>
      <c r="B55" s="48"/>
      <c r="C55" s="236"/>
      <c r="D55" s="33" t="s">
        <v>251</v>
      </c>
      <c r="E55" s="218">
        <f>E49*E52/3.6+E50*E53/3.6+E51*E54/3.6</f>
        <v>0</v>
      </c>
      <c r="F55" s="156" t="s">
        <v>347</v>
      </c>
    </row>
    <row r="56" spans="1:6" ht="15" customHeight="1" x14ac:dyDescent="0.15">
      <c r="A56" s="48"/>
      <c r="B56" s="48"/>
      <c r="C56" s="236"/>
      <c r="D56" s="45" t="s">
        <v>92</v>
      </c>
      <c r="E56" s="107"/>
      <c r="F56" s="5"/>
    </row>
    <row r="57" spans="1:6" ht="15" customHeight="1" x14ac:dyDescent="0.15">
      <c r="A57" s="48"/>
      <c r="B57" s="48"/>
      <c r="C57" s="236"/>
      <c r="D57" s="104" t="s">
        <v>252</v>
      </c>
      <c r="E57" s="70"/>
      <c r="F57" s="7" t="s">
        <v>144</v>
      </c>
    </row>
    <row r="58" spans="1:6" ht="15" customHeight="1" x14ac:dyDescent="0.15">
      <c r="A58" s="48"/>
      <c r="B58" s="48"/>
      <c r="C58" s="236"/>
      <c r="D58" s="104" t="s">
        <v>253</v>
      </c>
      <c r="E58" s="70"/>
      <c r="F58" s="7" t="s">
        <v>162</v>
      </c>
    </row>
    <row r="59" spans="1:6" ht="12.75" customHeight="1" x14ac:dyDescent="0.15">
      <c r="A59" s="48"/>
      <c r="B59" s="48"/>
      <c r="C59" s="236"/>
      <c r="D59" s="33" t="s">
        <v>254</v>
      </c>
      <c r="E59" s="85">
        <f>E57/GHG!$D$79</f>
        <v>0</v>
      </c>
      <c r="F59" s="7" t="s">
        <v>172</v>
      </c>
    </row>
    <row r="60" spans="1:6" ht="12.75" customHeight="1" x14ac:dyDescent="0.15">
      <c r="A60" s="48"/>
      <c r="B60" s="48"/>
      <c r="C60" s="236"/>
      <c r="D60" s="33" t="s">
        <v>255</v>
      </c>
      <c r="E60" s="85">
        <f>E58/GHG!$D$79</f>
        <v>0</v>
      </c>
      <c r="F60" s="7" t="s">
        <v>174</v>
      </c>
    </row>
    <row r="61" spans="1:6" ht="12.75" customHeight="1" x14ac:dyDescent="0.15">
      <c r="A61" s="48"/>
      <c r="B61" s="48"/>
      <c r="C61" s="236"/>
      <c r="D61" s="33" t="s">
        <v>256</v>
      </c>
      <c r="E61" s="220">
        <f>GHG!C39</f>
        <v>46</v>
      </c>
      <c r="F61" s="7" t="s">
        <v>30</v>
      </c>
    </row>
    <row r="62" spans="1:6" ht="12.75" customHeight="1" x14ac:dyDescent="0.15">
      <c r="A62" s="48"/>
      <c r="B62" s="48"/>
      <c r="C62" s="236"/>
      <c r="D62" s="33" t="s">
        <v>257</v>
      </c>
      <c r="E62" s="243">
        <f>GHG!C40</f>
        <v>105</v>
      </c>
      <c r="F62" s="7" t="s">
        <v>146</v>
      </c>
    </row>
    <row r="63" spans="1:6" ht="12.75" customHeight="1" x14ac:dyDescent="0.15">
      <c r="A63" s="48"/>
      <c r="B63" s="48"/>
      <c r="C63" s="236"/>
      <c r="D63" s="33" t="s">
        <v>166</v>
      </c>
      <c r="E63" s="86">
        <f>E59*E61/3.6+E60*E62/3.6</f>
        <v>0</v>
      </c>
      <c r="F63" s="156" t="s">
        <v>347</v>
      </c>
    </row>
    <row r="64" spans="1:6" ht="12.75" customHeight="1" x14ac:dyDescent="0.15">
      <c r="A64" s="48"/>
      <c r="B64" s="48"/>
      <c r="C64" s="236"/>
      <c r="D64" s="45" t="s">
        <v>149</v>
      </c>
      <c r="E64" s="67"/>
      <c r="F64" s="5"/>
    </row>
    <row r="65" spans="1:6" ht="14.25" customHeight="1" x14ac:dyDescent="0.15">
      <c r="A65" s="48"/>
      <c r="B65" s="48"/>
      <c r="C65" s="236"/>
      <c r="D65" s="33" t="s">
        <v>167</v>
      </c>
      <c r="E65" s="70"/>
      <c r="F65" s="7" t="s">
        <v>144</v>
      </c>
    </row>
    <row r="66" spans="1:6" ht="14.25" customHeight="1" x14ac:dyDescent="0.15">
      <c r="A66" s="48"/>
      <c r="B66" s="48"/>
      <c r="C66" s="236"/>
      <c r="D66" s="33" t="s">
        <v>168</v>
      </c>
      <c r="E66" s="70"/>
      <c r="F66" s="7" t="s">
        <v>176</v>
      </c>
    </row>
    <row r="67" spans="1:6" ht="14.25" customHeight="1" x14ac:dyDescent="0.15">
      <c r="A67" s="48"/>
      <c r="B67" s="48"/>
      <c r="C67" s="236"/>
      <c r="D67" s="33" t="s">
        <v>169</v>
      </c>
      <c r="E67" s="70"/>
      <c r="F67" s="7" t="s">
        <v>180</v>
      </c>
    </row>
    <row r="68" spans="1:6" ht="13.5" customHeight="1" x14ac:dyDescent="0.15">
      <c r="A68" s="48"/>
      <c r="B68" s="48"/>
      <c r="C68" s="236"/>
      <c r="D68" s="33" t="s">
        <v>269</v>
      </c>
      <c r="E68" s="303">
        <f>$E$65/GHG!$D$79</f>
        <v>0</v>
      </c>
      <c r="F68" s="7" t="s">
        <v>172</v>
      </c>
    </row>
    <row r="69" spans="1:6" ht="13.5" customHeight="1" x14ac:dyDescent="0.15">
      <c r="A69" s="48"/>
      <c r="B69" s="48"/>
      <c r="C69" s="236"/>
      <c r="D69" s="33" t="s">
        <v>170</v>
      </c>
      <c r="E69" s="303">
        <f>$E$66/GHG!$D$79</f>
        <v>0</v>
      </c>
      <c r="F69" s="7" t="s">
        <v>174</v>
      </c>
    </row>
    <row r="70" spans="1:6" ht="13.5" customHeight="1" x14ac:dyDescent="0.15">
      <c r="A70" s="48"/>
      <c r="B70" s="48"/>
      <c r="C70" s="236"/>
      <c r="D70" s="33" t="s">
        <v>171</v>
      </c>
      <c r="E70" s="303">
        <f>$E$67/GHG!$D$79</f>
        <v>0</v>
      </c>
      <c r="F70" s="7" t="s">
        <v>173</v>
      </c>
    </row>
    <row r="71" spans="1:6" ht="13.5" customHeight="1" x14ac:dyDescent="0.15">
      <c r="A71" s="48"/>
      <c r="B71" s="48"/>
      <c r="C71" s="236"/>
      <c r="D71" s="33" t="s">
        <v>177</v>
      </c>
      <c r="E71" s="220">
        <f>GHG!C41</f>
        <v>45.8</v>
      </c>
      <c r="F71" s="7" t="s">
        <v>30</v>
      </c>
    </row>
    <row r="72" spans="1:6" ht="13.5" customHeight="1" x14ac:dyDescent="0.15">
      <c r="A72" s="48"/>
      <c r="B72" s="48"/>
      <c r="C72" s="236"/>
      <c r="D72" s="33" t="s">
        <v>178</v>
      </c>
      <c r="E72" s="243">
        <f>IF(GHG!C43="No value",130,GHG!C43)</f>
        <v>130</v>
      </c>
      <c r="F72" s="7" t="s">
        <v>146</v>
      </c>
    </row>
    <row r="73" spans="1:6" ht="13.5" customHeight="1" x14ac:dyDescent="0.15">
      <c r="A73" s="48"/>
      <c r="B73" s="48"/>
      <c r="C73" s="236"/>
      <c r="D73" s="33" t="s">
        <v>179</v>
      </c>
      <c r="E73" s="220">
        <f>IF(GHG!C42="No value",36,GHG!C42)</f>
        <v>36</v>
      </c>
      <c r="F73" s="7" t="s">
        <v>29</v>
      </c>
    </row>
    <row r="74" spans="1:6" ht="13.5" customHeight="1" x14ac:dyDescent="0.15">
      <c r="A74" s="48"/>
      <c r="B74" s="48"/>
      <c r="C74" s="236"/>
      <c r="D74" s="33" t="s">
        <v>269</v>
      </c>
      <c r="E74" s="86">
        <f>E68*E71/3.6+E69*E72/3.6+E70*E73/3.6</f>
        <v>0</v>
      </c>
      <c r="F74" s="156" t="s">
        <v>347</v>
      </c>
    </row>
    <row r="75" spans="1:6" ht="27.75" customHeight="1" x14ac:dyDescent="0.2">
      <c r="A75" s="25" t="s">
        <v>15</v>
      </c>
      <c r="C75" s="20"/>
      <c r="D75" s="26"/>
      <c r="E75" s="27"/>
      <c r="F75" s="17"/>
    </row>
    <row r="76" spans="1:6" ht="17" customHeight="1" x14ac:dyDescent="0.15">
      <c r="A76" s="148" t="s">
        <v>312</v>
      </c>
      <c r="B76" s="62"/>
      <c r="C76" s="63"/>
      <c r="D76" s="149"/>
      <c r="E76" s="69"/>
      <c r="F76" s="5"/>
    </row>
    <row r="77" spans="1:6" ht="15" customHeight="1" x14ac:dyDescent="0.15">
      <c r="A77" s="28" t="s">
        <v>40</v>
      </c>
      <c r="B77" s="48"/>
      <c r="C77" s="74" t="s">
        <v>65</v>
      </c>
      <c r="D77" s="6" t="s">
        <v>198</v>
      </c>
      <c r="E77" s="70">
        <v>0</v>
      </c>
      <c r="F77" s="7" t="s">
        <v>2</v>
      </c>
    </row>
    <row r="78" spans="1:6" ht="15" customHeight="1" x14ac:dyDescent="0.15">
      <c r="A78" s="28"/>
      <c r="B78" s="48"/>
      <c r="C78" s="74" t="s">
        <v>43</v>
      </c>
      <c r="D78" s="6" t="s">
        <v>189</v>
      </c>
      <c r="E78" s="221">
        <f>GHG!$C$51</f>
        <v>0.81100000000000005</v>
      </c>
      <c r="F78" s="7" t="s">
        <v>44</v>
      </c>
    </row>
    <row r="79" spans="1:6" ht="15" customHeight="1" x14ac:dyDescent="0.15">
      <c r="A79" s="28"/>
      <c r="B79" s="48"/>
      <c r="C79" s="74"/>
      <c r="D79" s="6" t="s">
        <v>86</v>
      </c>
      <c r="E79" s="86">
        <f>E77*E78/3.6</f>
        <v>0</v>
      </c>
      <c r="F79" s="156" t="s">
        <v>347</v>
      </c>
    </row>
    <row r="80" spans="1:6" ht="15" customHeight="1" x14ac:dyDescent="0.15">
      <c r="A80" s="47" t="s">
        <v>4</v>
      </c>
      <c r="B80" s="62"/>
      <c r="C80" s="76" t="s">
        <v>65</v>
      </c>
      <c r="D80" s="119" t="s">
        <v>270</v>
      </c>
      <c r="E80" s="77">
        <v>0</v>
      </c>
      <c r="F80" s="5" t="s">
        <v>2</v>
      </c>
    </row>
    <row r="81" spans="1:8" ht="15" customHeight="1" x14ac:dyDescent="0.15">
      <c r="A81" s="150"/>
      <c r="B81" s="48"/>
      <c r="C81" s="74" t="s">
        <v>43</v>
      </c>
      <c r="D81" s="64" t="s">
        <v>190</v>
      </c>
      <c r="E81" s="221">
        <f>GHG!$C$49</f>
        <v>0.252</v>
      </c>
      <c r="F81" s="7" t="s">
        <v>44</v>
      </c>
    </row>
    <row r="82" spans="1:8" ht="15" customHeight="1" x14ac:dyDescent="0.15">
      <c r="A82" s="28"/>
      <c r="B82" s="48"/>
      <c r="C82" s="74"/>
      <c r="D82" s="65" t="s">
        <v>87</v>
      </c>
      <c r="E82" s="86">
        <f>E80*E81/3.6</f>
        <v>0</v>
      </c>
      <c r="F82" s="156" t="s">
        <v>347</v>
      </c>
    </row>
    <row r="83" spans="1:8" ht="15" customHeight="1" x14ac:dyDescent="0.15">
      <c r="A83" s="47" t="s">
        <v>18</v>
      </c>
      <c r="B83" s="62"/>
      <c r="C83" s="63"/>
      <c r="D83" s="119" t="s">
        <v>272</v>
      </c>
      <c r="E83" s="68">
        <v>0</v>
      </c>
      <c r="F83" s="5" t="s">
        <v>2</v>
      </c>
    </row>
    <row r="84" spans="1:8" ht="15" customHeight="1" x14ac:dyDescent="0.15">
      <c r="A84" s="28"/>
      <c r="B84" s="48"/>
      <c r="C84" s="74" t="s">
        <v>43</v>
      </c>
      <c r="D84" s="64" t="s">
        <v>191</v>
      </c>
      <c r="E84" s="221">
        <f>GHG!$C$50</f>
        <v>0.21</v>
      </c>
      <c r="F84" s="7" t="s">
        <v>44</v>
      </c>
    </row>
    <row r="85" spans="1:8" ht="15" customHeight="1" x14ac:dyDescent="0.15">
      <c r="A85" s="28"/>
      <c r="B85" s="48"/>
      <c r="C85" s="74"/>
      <c r="D85" s="65" t="s">
        <v>84</v>
      </c>
      <c r="E85" s="86">
        <f>E83*E84/3.6</f>
        <v>0</v>
      </c>
      <c r="F85" s="156" t="s">
        <v>348</v>
      </c>
    </row>
    <row r="86" spans="1:8" ht="14.25" customHeight="1" x14ac:dyDescent="0.15">
      <c r="A86" s="47" t="s">
        <v>139</v>
      </c>
      <c r="B86" s="62"/>
      <c r="C86" s="76" t="s">
        <v>65</v>
      </c>
      <c r="D86" s="6" t="s">
        <v>271</v>
      </c>
      <c r="E86" s="68">
        <v>0</v>
      </c>
      <c r="F86" s="5" t="s">
        <v>2</v>
      </c>
    </row>
    <row r="87" spans="1:8" ht="15" customHeight="1" x14ac:dyDescent="0.15">
      <c r="A87" s="28"/>
      <c r="B87" s="48"/>
      <c r="C87" s="74" t="s">
        <v>43</v>
      </c>
      <c r="D87" s="6" t="s">
        <v>192</v>
      </c>
      <c r="E87" s="221">
        <f>GHG!$C$48</f>
        <v>0.32400000000000001</v>
      </c>
      <c r="F87" s="7" t="s">
        <v>44</v>
      </c>
    </row>
    <row r="88" spans="1:8" ht="15" customHeight="1" x14ac:dyDescent="0.15">
      <c r="A88" s="151"/>
      <c r="B88" s="30"/>
      <c r="C88" s="152"/>
      <c r="D88" s="106" t="s">
        <v>88</v>
      </c>
      <c r="E88" s="86">
        <f>E86*E87/3.6</f>
        <v>0</v>
      </c>
      <c r="F88" s="156" t="s">
        <v>347</v>
      </c>
    </row>
    <row r="89" spans="1:8" ht="27.75" customHeight="1" x14ac:dyDescent="0.2">
      <c r="A89" s="25" t="s">
        <v>21</v>
      </c>
      <c r="C89" s="20"/>
      <c r="D89" s="34"/>
      <c r="E89" s="34"/>
      <c r="F89" s="34"/>
    </row>
    <row r="90" spans="1:8" ht="17.5" customHeight="1" x14ac:dyDescent="0.15">
      <c r="A90" s="47" t="s">
        <v>203</v>
      </c>
      <c r="B90" s="131"/>
      <c r="C90" s="157"/>
      <c r="D90" s="153"/>
      <c r="E90" s="153"/>
      <c r="F90" s="158"/>
    </row>
    <row r="91" spans="1:8" ht="17.5" customHeight="1" x14ac:dyDescent="0.15">
      <c r="A91" s="123"/>
      <c r="B91" s="129"/>
      <c r="C91" s="64" t="s">
        <v>204</v>
      </c>
      <c r="D91" s="64"/>
      <c r="E91" s="70"/>
      <c r="F91" s="154"/>
    </row>
    <row r="92" spans="1:8" ht="17.5" customHeight="1" x14ac:dyDescent="0.15">
      <c r="A92" s="123"/>
      <c r="B92" s="129"/>
      <c r="C92" s="64" t="s">
        <v>205</v>
      </c>
      <c r="D92" s="64"/>
      <c r="E92" s="70"/>
      <c r="F92" s="154"/>
    </row>
    <row r="93" spans="1:8" ht="17.5" customHeight="1" x14ac:dyDescent="0.15">
      <c r="A93" s="123"/>
      <c r="B93" s="129"/>
      <c r="C93" s="64" t="s">
        <v>206</v>
      </c>
      <c r="D93" s="64" t="s">
        <v>207</v>
      </c>
      <c r="E93" s="70">
        <v>0</v>
      </c>
      <c r="F93" s="29" t="s">
        <v>201</v>
      </c>
    </row>
    <row r="94" spans="1:8" ht="14.25" customHeight="1" x14ac:dyDescent="0.15">
      <c r="A94" s="123"/>
      <c r="B94" s="129"/>
      <c r="C94" s="64" t="s">
        <v>65</v>
      </c>
      <c r="D94" s="64" t="s">
        <v>14</v>
      </c>
      <c r="E94" s="159">
        <f>E93*1.852</f>
        <v>0</v>
      </c>
      <c r="F94" s="29" t="s">
        <v>208</v>
      </c>
      <c r="H94" s="18"/>
    </row>
    <row r="95" spans="1:8" ht="15" customHeight="1" x14ac:dyDescent="0.15">
      <c r="A95" s="123"/>
      <c r="B95" s="129"/>
      <c r="C95" s="64" t="s">
        <v>370</v>
      </c>
      <c r="D95" s="64" t="s">
        <v>273</v>
      </c>
      <c r="E95" s="160">
        <f>GHG!$C$47</f>
        <v>6.5600000000000006E-2</v>
      </c>
      <c r="F95" s="29" t="s">
        <v>44</v>
      </c>
    </row>
    <row r="96" spans="1:8" ht="15" customHeight="1" x14ac:dyDescent="0.15">
      <c r="A96" s="155"/>
      <c r="B96" s="146"/>
      <c r="C96" s="65"/>
      <c r="D96" s="65" t="s">
        <v>89</v>
      </c>
      <c r="E96" s="66">
        <f>E94*E95/3.6</f>
        <v>0</v>
      </c>
      <c r="F96" s="156" t="s">
        <v>347</v>
      </c>
    </row>
    <row r="106" spans="1:19" s="22" customFormat="1" ht="14.25" customHeight="1" x14ac:dyDescent="0.15">
      <c r="A106" s="20"/>
      <c r="B106" s="20"/>
      <c r="C106" s="35"/>
      <c r="D106" s="36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</sheetData>
  <protectedRanges>
    <protectedRange sqref="E91:E93 E87 E84 E80:E81 E77:E78 A76 E13 E10 E7 E4:E5 E65:E70 E46:E51 E16 E57:E60 E27:E28 E40:E43 E25 E30 E35:E36" name="basic data"/>
    <protectedRange sqref="E29" name="basic data_1"/>
  </protectedRanges>
  <mergeCells count="3">
    <mergeCell ref="A6:C6"/>
    <mergeCell ref="A4:C4"/>
    <mergeCell ref="A1:D1"/>
  </mergeCells>
  <pageMargins left="0.75" right="0.75" top="1" bottom="1" header="0.5" footer="0.5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7"/>
  <sheetViews>
    <sheetView workbookViewId="0">
      <selection activeCell="C12" sqref="C12"/>
    </sheetView>
  </sheetViews>
  <sheetFormatPr baseColWidth="10" defaultColWidth="9.1640625" defaultRowHeight="13" x14ac:dyDescent="0.15"/>
  <cols>
    <col min="1" max="1" width="56.5" style="9" customWidth="1"/>
    <col min="2" max="2" width="15.5" style="8" bestFit="1" customWidth="1"/>
    <col min="3" max="3" width="17.5" style="21" customWidth="1"/>
    <col min="4" max="4" width="37" style="1" customWidth="1"/>
    <col min="5" max="5" width="66.5" customWidth="1"/>
    <col min="6" max="6" width="8.83203125" customWidth="1"/>
  </cols>
  <sheetData>
    <row r="1" spans="1:4" ht="20" x14ac:dyDescent="0.2">
      <c r="A1" s="409" t="s">
        <v>368</v>
      </c>
      <c r="B1" s="409"/>
      <c r="C1" s="409"/>
      <c r="D1" s="409"/>
    </row>
    <row r="2" spans="1:4" ht="14.25" customHeight="1" x14ac:dyDescent="0.15">
      <c r="A2" s="10"/>
      <c r="B2" s="11"/>
      <c r="C2" s="11"/>
      <c r="D2" s="11"/>
    </row>
    <row r="3" spans="1:4" ht="16" x14ac:dyDescent="0.2">
      <c r="A3" s="12" t="s">
        <v>211</v>
      </c>
      <c r="B3" s="11"/>
      <c r="C3" s="163"/>
      <c r="D3" s="164"/>
    </row>
    <row r="4" spans="1:4" ht="17" x14ac:dyDescent="0.15">
      <c r="A4" s="78" t="s">
        <v>1</v>
      </c>
      <c r="B4" s="44" t="s">
        <v>3</v>
      </c>
      <c r="C4" s="165">
        <f>'BASIC DATA'!E9</f>
        <v>0.2252777777777778</v>
      </c>
      <c r="D4" s="166" t="s">
        <v>163</v>
      </c>
    </row>
    <row r="5" spans="1:4" ht="17" x14ac:dyDescent="0.15">
      <c r="A5" s="78" t="s">
        <v>4</v>
      </c>
      <c r="B5" s="170" t="s">
        <v>5</v>
      </c>
      <c r="C5" s="171">
        <f>'BASIC DATA'!E12</f>
        <v>0</v>
      </c>
      <c r="D5" s="172" t="s">
        <v>163</v>
      </c>
    </row>
    <row r="6" spans="1:4" ht="17" x14ac:dyDescent="0.15">
      <c r="A6" s="193" t="s">
        <v>6</v>
      </c>
      <c r="B6" s="167" t="s">
        <v>7</v>
      </c>
      <c r="C6" s="183">
        <f>'BASIC DATA'!E18</f>
        <v>0</v>
      </c>
      <c r="D6" s="169" t="s">
        <v>163</v>
      </c>
    </row>
    <row r="7" spans="1:4" ht="16" x14ac:dyDescent="0.15">
      <c r="A7" s="191"/>
      <c r="B7" s="188"/>
      <c r="C7" s="192"/>
      <c r="D7" s="194"/>
    </row>
    <row r="8" spans="1:4" ht="16" x14ac:dyDescent="0.2">
      <c r="A8" s="246" t="s">
        <v>8</v>
      </c>
      <c r="B8" s="247"/>
      <c r="C8" s="248"/>
      <c r="D8" s="249"/>
    </row>
    <row r="9" spans="1:4" ht="17" x14ac:dyDescent="0.15">
      <c r="A9" s="412" t="s">
        <v>214</v>
      </c>
      <c r="B9" s="44" t="s">
        <v>24</v>
      </c>
      <c r="C9" s="165">
        <f>SUM(C6,C5,C4)</f>
        <v>0.2252777777777778</v>
      </c>
      <c r="D9" s="166" t="s">
        <v>163</v>
      </c>
    </row>
    <row r="10" spans="1:4" ht="16" x14ac:dyDescent="0.15">
      <c r="A10" s="413"/>
      <c r="B10" s="170"/>
      <c r="C10" s="37" t="s">
        <v>277</v>
      </c>
      <c r="D10" s="172"/>
    </row>
    <row r="11" spans="1:4" ht="17" x14ac:dyDescent="0.15">
      <c r="A11" s="102" t="s">
        <v>209</v>
      </c>
      <c r="B11" s="170" t="s">
        <v>10</v>
      </c>
      <c r="C11" s="245">
        <f>'BASIC DATA'!E6</f>
        <v>1.8181818181818181</v>
      </c>
      <c r="D11" s="195"/>
    </row>
    <row r="12" spans="1:4" ht="15.75" customHeight="1" x14ac:dyDescent="0.15">
      <c r="A12" s="102" t="s">
        <v>215</v>
      </c>
      <c r="B12" s="170" t="s">
        <v>25</v>
      </c>
      <c r="C12" s="171">
        <f>C9/C11</f>
        <v>0.12390277777777779</v>
      </c>
      <c r="D12" s="172" t="s">
        <v>347</v>
      </c>
    </row>
    <row r="13" spans="1:4" ht="16" x14ac:dyDescent="0.15">
      <c r="A13" s="102"/>
      <c r="B13" s="170"/>
      <c r="C13" s="174"/>
      <c r="D13" s="172"/>
    </row>
    <row r="14" spans="1:4" ht="16" x14ac:dyDescent="0.2">
      <c r="A14" s="187" t="s">
        <v>212</v>
      </c>
      <c r="B14" s="188"/>
      <c r="C14" s="189"/>
      <c r="D14" s="190"/>
    </row>
    <row r="15" spans="1:4" ht="17" x14ac:dyDescent="0.15">
      <c r="A15" s="161" t="s">
        <v>18</v>
      </c>
      <c r="B15" s="170" t="s">
        <v>67</v>
      </c>
      <c r="C15" s="171">
        <f>'BASIC DATA'!E15</f>
        <v>0</v>
      </c>
      <c r="D15" s="166" t="s">
        <v>210</v>
      </c>
    </row>
    <row r="16" spans="1:4" ht="17" x14ac:dyDescent="0.15">
      <c r="A16" s="79" t="s">
        <v>218</v>
      </c>
      <c r="B16" s="167" t="s">
        <v>213</v>
      </c>
      <c r="C16" s="183">
        <f>C15/C11</f>
        <v>0</v>
      </c>
      <c r="D16" s="169" t="s">
        <v>348</v>
      </c>
    </row>
    <row r="17" spans="1:4" ht="16" x14ac:dyDescent="0.15">
      <c r="A17" s="191"/>
      <c r="B17" s="188"/>
      <c r="C17" s="192"/>
      <c r="D17" s="188"/>
    </row>
    <row r="18" spans="1:4" ht="16" x14ac:dyDescent="0.2">
      <c r="A18" s="184" t="s">
        <v>11</v>
      </c>
      <c r="B18" s="185"/>
      <c r="C18" s="176"/>
      <c r="D18" s="177"/>
    </row>
    <row r="19" spans="1:4" ht="17" x14ac:dyDescent="0.15">
      <c r="A19" s="101" t="s">
        <v>66</v>
      </c>
      <c r="B19" s="44" t="s">
        <v>143</v>
      </c>
      <c r="C19" s="165">
        <f>'BASIC DATA'!E25</f>
        <v>0</v>
      </c>
      <c r="D19" s="166" t="s">
        <v>348</v>
      </c>
    </row>
    <row r="20" spans="1:4" ht="34" x14ac:dyDescent="0.15">
      <c r="A20" s="42" t="s">
        <v>13</v>
      </c>
      <c r="B20" s="170" t="s">
        <v>216</v>
      </c>
      <c r="C20" s="171">
        <f>'BASIC DATA'!E33</f>
        <v>0</v>
      </c>
      <c r="D20" s="172" t="s">
        <v>347</v>
      </c>
    </row>
    <row r="21" spans="1:4" ht="17" x14ac:dyDescent="0.15">
      <c r="A21" s="42"/>
      <c r="B21" s="170" t="s">
        <v>258</v>
      </c>
      <c r="C21" s="171">
        <f>'BASIC DATA'!E38</f>
        <v>0</v>
      </c>
      <c r="D21" s="172" t="s">
        <v>347</v>
      </c>
    </row>
    <row r="22" spans="1:4" ht="17" x14ac:dyDescent="0.15">
      <c r="A22" s="42"/>
      <c r="B22" s="170" t="s">
        <v>217</v>
      </c>
      <c r="C22" s="171">
        <f>'BASIC DATA'!E44</f>
        <v>0</v>
      </c>
      <c r="D22" s="172" t="s">
        <v>347</v>
      </c>
    </row>
    <row r="23" spans="1:4" ht="17" x14ac:dyDescent="0.15">
      <c r="A23" s="42"/>
      <c r="B23" s="170" t="s">
        <v>259</v>
      </c>
      <c r="C23" s="171">
        <f>'BASIC DATA'!E55</f>
        <v>0</v>
      </c>
      <c r="D23" s="172" t="s">
        <v>347</v>
      </c>
    </row>
    <row r="24" spans="1:4" ht="15.75" customHeight="1" x14ac:dyDescent="0.15">
      <c r="A24" s="42"/>
      <c r="B24" s="170" t="s">
        <v>260</v>
      </c>
      <c r="C24" s="171">
        <f>'BASIC DATA'!E63</f>
        <v>0</v>
      </c>
      <c r="D24" s="172" t="s">
        <v>347</v>
      </c>
    </row>
    <row r="25" spans="1:4" ht="17" x14ac:dyDescent="0.15">
      <c r="A25" s="43"/>
      <c r="B25" s="167" t="s">
        <v>261</v>
      </c>
      <c r="C25" s="183">
        <f>'BASIC DATA'!E74</f>
        <v>0</v>
      </c>
      <c r="D25" s="169" t="s">
        <v>347</v>
      </c>
    </row>
    <row r="26" spans="1:4" ht="16" x14ac:dyDescent="0.15">
      <c r="A26" s="162"/>
      <c r="B26" s="11"/>
      <c r="C26" s="174"/>
      <c r="D26" s="11"/>
    </row>
    <row r="27" spans="1:4" ht="16" x14ac:dyDescent="0.2">
      <c r="A27" s="187" t="s">
        <v>15</v>
      </c>
      <c r="B27" s="185"/>
      <c r="C27" s="176"/>
      <c r="D27" s="177"/>
    </row>
    <row r="28" spans="1:4" ht="17" x14ac:dyDescent="0.15">
      <c r="A28" s="42" t="s">
        <v>1</v>
      </c>
      <c r="B28" s="44" t="s">
        <v>16</v>
      </c>
      <c r="C28" s="165">
        <f>'BASIC DATA'!E79</f>
        <v>0</v>
      </c>
      <c r="D28" s="166" t="s">
        <v>347</v>
      </c>
    </row>
    <row r="29" spans="1:4" ht="17" x14ac:dyDescent="0.15">
      <c r="A29" s="41" t="s">
        <v>4</v>
      </c>
      <c r="B29" s="44" t="s">
        <v>17</v>
      </c>
      <c r="C29" s="165">
        <f>'BASIC DATA'!E82</f>
        <v>0</v>
      </c>
      <c r="D29" s="166" t="s">
        <v>347</v>
      </c>
    </row>
    <row r="30" spans="1:4" ht="17" x14ac:dyDescent="0.15">
      <c r="A30" s="41" t="s">
        <v>18</v>
      </c>
      <c r="B30" s="44" t="s">
        <v>19</v>
      </c>
      <c r="C30" s="165">
        <f>'BASIC DATA'!E85</f>
        <v>0</v>
      </c>
      <c r="D30" s="166" t="s">
        <v>348</v>
      </c>
    </row>
    <row r="31" spans="1:4" ht="17" x14ac:dyDescent="0.15">
      <c r="A31" s="196" t="s">
        <v>139</v>
      </c>
      <c r="B31" s="197" t="s">
        <v>20</v>
      </c>
      <c r="C31" s="121">
        <f>'BASIC DATA'!E88</f>
        <v>0</v>
      </c>
      <c r="D31" s="186" t="s">
        <v>347</v>
      </c>
    </row>
    <row r="32" spans="1:4" ht="16" x14ac:dyDescent="0.15">
      <c r="A32" s="43"/>
      <c r="B32" s="167"/>
      <c r="C32" s="168" t="s">
        <v>41</v>
      </c>
      <c r="D32" s="173"/>
    </row>
    <row r="33" spans="1:5" ht="16" x14ac:dyDescent="0.2">
      <c r="A33" s="187" t="s">
        <v>21</v>
      </c>
      <c r="B33" s="178"/>
      <c r="C33" s="178"/>
      <c r="D33" s="198"/>
    </row>
    <row r="34" spans="1:5" ht="17" x14ac:dyDescent="0.15">
      <c r="A34" s="196" t="s">
        <v>202</v>
      </c>
      <c r="B34" s="197" t="s">
        <v>22</v>
      </c>
      <c r="C34" s="121">
        <f>'BASIC DATA'!E96</f>
        <v>0</v>
      </c>
      <c r="D34" s="186" t="s">
        <v>347</v>
      </c>
    </row>
    <row r="35" spans="1:5" ht="16" x14ac:dyDescent="0.2">
      <c r="A35" s="199"/>
      <c r="B35" s="194"/>
      <c r="C35" s="192" t="s">
        <v>41</v>
      </c>
      <c r="D35" s="194"/>
    </row>
    <row r="36" spans="1:5" ht="16" x14ac:dyDescent="0.2">
      <c r="A36" s="13"/>
      <c r="B36" s="179"/>
      <c r="C36" s="180"/>
      <c r="D36" s="179"/>
    </row>
    <row r="37" spans="1:5" ht="16" x14ac:dyDescent="0.2">
      <c r="A37" s="410" t="s">
        <v>220</v>
      </c>
      <c r="B37" s="411"/>
      <c r="C37" s="411"/>
      <c r="D37" s="327">
        <f>'Biomass Report'!E6</f>
        <v>45292</v>
      </c>
    </row>
    <row r="38" spans="1:5" ht="17" x14ac:dyDescent="0.2">
      <c r="A38" s="410" t="s">
        <v>219</v>
      </c>
      <c r="B38" s="411"/>
      <c r="C38" s="411"/>
      <c r="D38" s="227" t="s">
        <v>342</v>
      </c>
    </row>
    <row r="39" spans="1:5" ht="16" x14ac:dyDescent="0.15">
      <c r="A39" s="182"/>
      <c r="B39" s="182"/>
      <c r="C39" s="182"/>
      <c r="D39" s="182"/>
    </row>
    <row r="40" spans="1:5" ht="20" x14ac:dyDescent="0.15">
      <c r="A40" s="181"/>
      <c r="B40" s="175"/>
      <c r="C40" s="180"/>
      <c r="D40" s="179"/>
      <c r="E40" s="14"/>
    </row>
    <row r="41" spans="1:5" ht="17" x14ac:dyDescent="0.2">
      <c r="A41" s="292" t="s">
        <v>280</v>
      </c>
      <c r="B41" s="199"/>
      <c r="C41" s="293">
        <f>C19+SUM(C20:C25)*0.55</f>
        <v>0</v>
      </c>
      <c r="D41" s="186" t="s">
        <v>349</v>
      </c>
    </row>
    <row r="42" spans="1:5" ht="17" x14ac:dyDescent="0.2">
      <c r="A42" s="292" t="s">
        <v>279</v>
      </c>
      <c r="B42" s="199"/>
      <c r="C42" s="293">
        <f>C30+C16+(C12+C28+C29+C31+C34)*0.55</f>
        <v>6.8146527777777785E-2</v>
      </c>
      <c r="D42" s="186" t="s">
        <v>349</v>
      </c>
    </row>
    <row r="43" spans="1:5" ht="14.25" customHeight="1" x14ac:dyDescent="0.15">
      <c r="A43" s="294" t="s">
        <v>23</v>
      </c>
      <c r="B43" s="295"/>
      <c r="C43" s="296">
        <f>C41+C42</f>
        <v>6.8146527777777785E-2</v>
      </c>
      <c r="D43" s="297"/>
    </row>
    <row r="44" spans="1:5" ht="14.5" customHeight="1" x14ac:dyDescent="0.15"/>
    <row r="45" spans="1:5" ht="19.5" customHeight="1" x14ac:dyDescent="0.15"/>
    <row r="46" spans="1:5" ht="19.5" customHeight="1" x14ac:dyDescent="0.15"/>
    <row r="47" spans="1:5" ht="11.25" customHeight="1" x14ac:dyDescent="0.15"/>
    <row r="49" spans="1:6" ht="18.75" customHeight="1" x14ac:dyDescent="0.15"/>
    <row r="50" spans="1:6" ht="18.75" customHeight="1" x14ac:dyDescent="0.15">
      <c r="A50" s="15"/>
      <c r="B50" s="16"/>
    </row>
    <row r="51" spans="1:6" ht="14" customHeight="1" x14ac:dyDescent="0.15"/>
    <row r="52" spans="1:6" ht="14" customHeight="1" x14ac:dyDescent="0.15"/>
    <row r="54" spans="1:6" ht="12.75" customHeight="1" x14ac:dyDescent="0.15">
      <c r="E54" s="19"/>
      <c r="F54" s="19"/>
    </row>
    <row r="55" spans="1:6" ht="14.5" customHeight="1" x14ac:dyDescent="0.15"/>
    <row r="67" ht="14.25" customHeight="1" x14ac:dyDescent="0.15"/>
  </sheetData>
  <protectedRanges>
    <protectedRange sqref="B38:D38 D37" name="energiebalans"/>
  </protectedRanges>
  <mergeCells count="4">
    <mergeCell ref="A38:C38"/>
    <mergeCell ref="A1:D1"/>
    <mergeCell ref="A9:A10"/>
    <mergeCell ref="A37:C37"/>
  </mergeCells>
  <pageMargins left="0.75" right="0.75" top="1" bottom="1" header="0.5" footer="0.5"/>
  <pageSetup paperSize="9"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2"/>
  <sheetViews>
    <sheetView topLeftCell="A18" zoomScale="110" zoomScaleNormal="110" workbookViewId="0">
      <selection activeCell="E83" sqref="E83"/>
    </sheetView>
  </sheetViews>
  <sheetFormatPr baseColWidth="10" defaultColWidth="9.1640625" defaultRowHeight="13" x14ac:dyDescent="0.15"/>
  <cols>
    <col min="1" max="1" width="54" customWidth="1"/>
    <col min="2" max="2" width="13.33203125" customWidth="1"/>
    <col min="3" max="3" width="21.33203125" bestFit="1" customWidth="1"/>
    <col min="4" max="4" width="22.1640625" bestFit="1" customWidth="1"/>
    <col min="5" max="5" width="17.5" bestFit="1" customWidth="1"/>
    <col min="6" max="7" width="22" bestFit="1" customWidth="1"/>
    <col min="8" max="8" width="17.6640625" style="40" customWidth="1"/>
    <col min="9" max="9" width="11.6640625" customWidth="1"/>
    <col min="10" max="10" width="13.33203125" bestFit="1" customWidth="1"/>
    <col min="11" max="11" width="14.33203125" customWidth="1"/>
  </cols>
  <sheetData>
    <row r="1" spans="1:4" ht="20" x14ac:dyDescent="0.2">
      <c r="A1" s="409" t="s">
        <v>367</v>
      </c>
      <c r="B1" s="409"/>
      <c r="C1" s="409"/>
      <c r="D1" s="409"/>
    </row>
    <row r="24" spans="1:8" ht="14" thickBot="1" x14ac:dyDescent="0.2"/>
    <row r="25" spans="1:8" ht="20" thickBot="1" x14ac:dyDescent="0.2">
      <c r="A25" s="80" t="s">
        <v>264</v>
      </c>
      <c r="B25" s="50" t="s">
        <v>45</v>
      </c>
      <c r="C25" s="51" t="s">
        <v>58</v>
      </c>
      <c r="G25" s="40"/>
      <c r="H25"/>
    </row>
    <row r="26" spans="1:8" ht="17" thickBot="1" x14ac:dyDescent="0.2">
      <c r="A26" s="319" t="s">
        <v>34</v>
      </c>
      <c r="B26" s="54" t="s">
        <v>51</v>
      </c>
      <c r="C26" s="335">
        <f>C35</f>
        <v>36.1</v>
      </c>
      <c r="G26" s="40"/>
      <c r="H26"/>
    </row>
    <row r="27" spans="1:8" ht="15" thickBot="1" x14ac:dyDescent="0.2">
      <c r="A27" s="319" t="s">
        <v>352</v>
      </c>
      <c r="B27" s="54" t="s">
        <v>52</v>
      </c>
      <c r="C27" s="336">
        <f>4.69*3600</f>
        <v>16884</v>
      </c>
      <c r="G27" s="40"/>
      <c r="H27"/>
    </row>
    <row r="28" spans="1:8" ht="15" thickBot="1" x14ac:dyDescent="0.2">
      <c r="A28" s="320" t="s">
        <v>353</v>
      </c>
      <c r="B28" s="321" t="s">
        <v>52</v>
      </c>
      <c r="C28" s="337">
        <f>2.3*3600</f>
        <v>8280</v>
      </c>
    </row>
    <row r="29" spans="1:8" ht="14" thickBot="1" x14ac:dyDescent="0.2"/>
    <row r="30" spans="1:8" ht="20" thickBot="1" x14ac:dyDescent="0.2">
      <c r="A30" s="80" t="s">
        <v>63</v>
      </c>
      <c r="B30" s="50" t="s">
        <v>45</v>
      </c>
      <c r="C30" s="51" t="s">
        <v>58</v>
      </c>
      <c r="D30" s="52" t="s">
        <v>59</v>
      </c>
      <c r="E30" s="108" t="s">
        <v>148</v>
      </c>
      <c r="F30" s="50" t="s">
        <v>45</v>
      </c>
      <c r="G30" s="40"/>
      <c r="H30"/>
    </row>
    <row r="31" spans="1:8" ht="15" thickBot="1" x14ac:dyDescent="0.2">
      <c r="A31" s="53" t="s">
        <v>35</v>
      </c>
      <c r="B31" s="54" t="s">
        <v>30</v>
      </c>
      <c r="C31" s="110">
        <v>40.5</v>
      </c>
      <c r="D31" s="111">
        <v>94.2</v>
      </c>
      <c r="E31" s="112"/>
      <c r="F31" s="112"/>
      <c r="G31" s="40"/>
      <c r="H31"/>
    </row>
    <row r="32" spans="1:8" ht="15" thickBot="1" x14ac:dyDescent="0.2">
      <c r="A32" s="57" t="s">
        <v>32</v>
      </c>
      <c r="B32" s="54" t="s">
        <v>29</v>
      </c>
      <c r="C32" s="113">
        <v>35.9</v>
      </c>
      <c r="D32" s="112">
        <v>95.1</v>
      </c>
      <c r="E32" s="112"/>
      <c r="F32" s="112"/>
      <c r="G32" s="40"/>
      <c r="H32"/>
    </row>
    <row r="33" spans="1:8" ht="15" thickBot="1" x14ac:dyDescent="0.2">
      <c r="A33" s="57" t="s">
        <v>32</v>
      </c>
      <c r="B33" s="54" t="s">
        <v>30</v>
      </c>
      <c r="C33" s="113">
        <v>43.1</v>
      </c>
      <c r="D33" s="112">
        <v>95.1</v>
      </c>
      <c r="E33" s="112"/>
      <c r="F33" s="112"/>
      <c r="G33" s="40"/>
      <c r="H33"/>
    </row>
    <row r="34" spans="1:8" ht="15" thickBot="1" x14ac:dyDescent="0.2">
      <c r="A34" s="57" t="s">
        <v>62</v>
      </c>
      <c r="B34" s="54" t="s">
        <v>29</v>
      </c>
      <c r="C34" s="110">
        <v>32.200000000000003</v>
      </c>
      <c r="D34" s="112">
        <v>93.3</v>
      </c>
      <c r="E34" s="112"/>
      <c r="F34" s="112"/>
      <c r="G34" s="40"/>
      <c r="H34"/>
    </row>
    <row r="35" spans="1:8" ht="17" thickBot="1" x14ac:dyDescent="0.2">
      <c r="A35" s="57" t="s">
        <v>34</v>
      </c>
      <c r="B35" s="54" t="s">
        <v>51</v>
      </c>
      <c r="C35" s="112">
        <v>36.1</v>
      </c>
      <c r="D35" s="112">
        <v>66</v>
      </c>
      <c r="E35" s="112"/>
      <c r="F35" s="112"/>
      <c r="G35" s="40"/>
      <c r="H35"/>
    </row>
    <row r="36" spans="1:8" ht="15" thickBot="1" x14ac:dyDescent="0.2">
      <c r="A36" s="57" t="s">
        <v>26</v>
      </c>
      <c r="B36" s="54" t="s">
        <v>30</v>
      </c>
      <c r="C36" s="114">
        <v>46.4</v>
      </c>
      <c r="D36" s="113">
        <v>78.06</v>
      </c>
      <c r="E36" s="112"/>
      <c r="F36" s="112"/>
      <c r="G36" s="40"/>
      <c r="H36"/>
    </row>
    <row r="37" spans="1:8" ht="15" thickBot="1" x14ac:dyDescent="0.2">
      <c r="A37" s="117" t="s">
        <v>47</v>
      </c>
      <c r="B37" s="118" t="s">
        <v>29</v>
      </c>
      <c r="C37" s="109">
        <f>ROUND(C36*E37/1000,1)</f>
        <v>27.1</v>
      </c>
      <c r="D37" s="113">
        <v>78.06</v>
      </c>
      <c r="E37" s="112">
        <v>584.79999999999995</v>
      </c>
      <c r="F37" s="112" t="s">
        <v>147</v>
      </c>
      <c r="G37" s="40"/>
      <c r="H37"/>
    </row>
    <row r="38" spans="1:8" ht="17" thickBot="1" x14ac:dyDescent="0.2">
      <c r="A38" s="117" t="s">
        <v>46</v>
      </c>
      <c r="B38" s="118" t="s">
        <v>51</v>
      </c>
      <c r="C38" s="109">
        <f>ROUND(C36*E38,1)</f>
        <v>88.6</v>
      </c>
      <c r="D38" s="113">
        <v>78.06</v>
      </c>
      <c r="E38" s="113">
        <v>1.91</v>
      </c>
      <c r="F38" s="112" t="s">
        <v>141</v>
      </c>
      <c r="G38" s="40"/>
      <c r="H38"/>
    </row>
    <row r="39" spans="1:8" ht="15" thickBot="1" x14ac:dyDescent="0.2">
      <c r="A39" s="57" t="s">
        <v>92</v>
      </c>
      <c r="B39" s="54" t="s">
        <v>30</v>
      </c>
      <c r="C39" s="113">
        <v>46</v>
      </c>
      <c r="D39" s="113">
        <v>78.06</v>
      </c>
      <c r="E39" s="112"/>
      <c r="F39" s="112"/>
      <c r="G39" s="40"/>
      <c r="H39"/>
    </row>
    <row r="40" spans="1:8" ht="15" thickBot="1" x14ac:dyDescent="0.2">
      <c r="A40" s="57" t="s">
        <v>145</v>
      </c>
      <c r="B40" s="54" t="s">
        <v>146</v>
      </c>
      <c r="C40" s="116">
        <v>105</v>
      </c>
      <c r="D40" s="113">
        <v>78.06</v>
      </c>
      <c r="E40" s="112"/>
      <c r="F40" s="112"/>
      <c r="G40" s="40"/>
      <c r="H40"/>
    </row>
    <row r="41" spans="1:8" ht="15" thickBot="1" x14ac:dyDescent="0.2">
      <c r="A41" s="57" t="s">
        <v>149</v>
      </c>
      <c r="B41" s="54" t="s">
        <v>30</v>
      </c>
      <c r="C41" s="114">
        <v>45.8</v>
      </c>
      <c r="D41" s="112"/>
      <c r="E41" s="113"/>
      <c r="F41" s="112"/>
      <c r="G41" s="40"/>
      <c r="H41"/>
    </row>
    <row r="42" spans="1:8" ht="15" thickBot="1" x14ac:dyDescent="0.2">
      <c r="A42" s="117" t="s">
        <v>150</v>
      </c>
      <c r="B42" s="118" t="s">
        <v>29</v>
      </c>
      <c r="C42" s="109" t="str">
        <f>IF(E42="","No value",ROUND(C41*E42/1000,1))</f>
        <v>No value</v>
      </c>
      <c r="D42" s="112"/>
      <c r="E42" s="87"/>
      <c r="F42" s="112" t="s">
        <v>147</v>
      </c>
      <c r="G42" s="40"/>
      <c r="H42"/>
    </row>
    <row r="43" spans="1:8" ht="17" thickBot="1" x14ac:dyDescent="0.2">
      <c r="A43" s="117" t="s">
        <v>151</v>
      </c>
      <c r="B43" s="118" t="s">
        <v>51</v>
      </c>
      <c r="C43" s="109" t="str">
        <f>IF(E43="","No value",ROUND(C41*E43,1))</f>
        <v>No value</v>
      </c>
      <c r="D43" s="112"/>
      <c r="E43" s="87"/>
      <c r="F43" s="112" t="s">
        <v>141</v>
      </c>
      <c r="G43" s="40"/>
      <c r="H43"/>
    </row>
    <row r="44" spans="1:8" ht="14" thickBot="1" x14ac:dyDescent="0.2">
      <c r="A44" s="40"/>
      <c r="B44" s="40"/>
      <c r="C44" s="40"/>
      <c r="D44" s="40"/>
      <c r="E44" s="40"/>
    </row>
    <row r="45" spans="1:8" ht="19" x14ac:dyDescent="0.15">
      <c r="A45" s="80" t="s">
        <v>64</v>
      </c>
      <c r="B45" s="416" t="s">
        <v>48</v>
      </c>
      <c r="C45" s="58" t="s">
        <v>49</v>
      </c>
      <c r="D45" s="58" t="s">
        <v>60</v>
      </c>
      <c r="E45" s="58" t="s">
        <v>61</v>
      </c>
    </row>
    <row r="46" spans="1:8" ht="19" thickBot="1" x14ac:dyDescent="0.2">
      <c r="A46" s="226"/>
      <c r="B46" s="417"/>
      <c r="C46" s="59" t="s">
        <v>44</v>
      </c>
      <c r="D46" s="59" t="s">
        <v>50</v>
      </c>
      <c r="E46" s="59" t="s">
        <v>53</v>
      </c>
    </row>
    <row r="47" spans="1:8" ht="15" thickBot="1" x14ac:dyDescent="0.2">
      <c r="A47" s="57" t="s">
        <v>199</v>
      </c>
      <c r="B47" s="55" t="s">
        <v>35</v>
      </c>
      <c r="C47" s="55">
        <v>6.5600000000000006E-2</v>
      </c>
      <c r="D47" s="55">
        <v>94.2</v>
      </c>
      <c r="E47" s="61">
        <f>D47*C47</f>
        <v>6.179520000000001</v>
      </c>
    </row>
    <row r="48" spans="1:8" ht="15" thickBot="1" x14ac:dyDescent="0.2">
      <c r="A48" s="57" t="s">
        <v>200</v>
      </c>
      <c r="B48" s="55" t="s">
        <v>32</v>
      </c>
      <c r="C48" s="55">
        <v>0.32400000000000001</v>
      </c>
      <c r="D48" s="55">
        <v>95.1</v>
      </c>
      <c r="E48" s="61">
        <f>D48*C48</f>
        <v>30.8124</v>
      </c>
    </row>
    <row r="49" spans="1:6" ht="15" thickBot="1" x14ac:dyDescent="0.2">
      <c r="A49" s="57" t="s">
        <v>54</v>
      </c>
      <c r="B49" s="55" t="s">
        <v>32</v>
      </c>
      <c r="C49" s="55">
        <v>0.252</v>
      </c>
      <c r="D49" s="55">
        <v>95.1</v>
      </c>
      <c r="E49" s="61">
        <f>D49*C49</f>
        <v>23.965199999999999</v>
      </c>
    </row>
    <row r="50" spans="1:6" ht="15" thickBot="1" x14ac:dyDescent="0.2">
      <c r="A50" s="57" t="s">
        <v>55</v>
      </c>
      <c r="B50" s="55" t="s">
        <v>56</v>
      </c>
      <c r="C50" s="242">
        <v>0.21</v>
      </c>
      <c r="D50" s="60" t="s">
        <v>281</v>
      </c>
      <c r="E50" s="55" t="s">
        <v>292</v>
      </c>
    </row>
    <row r="51" spans="1:6" ht="15" thickBot="1" x14ac:dyDescent="0.2">
      <c r="A51" s="57" t="s">
        <v>57</v>
      </c>
      <c r="B51" s="55" t="s">
        <v>32</v>
      </c>
      <c r="C51" s="55">
        <v>0.81100000000000005</v>
      </c>
      <c r="D51" s="55">
        <v>95.1</v>
      </c>
      <c r="E51" s="61">
        <f>D51*C51</f>
        <v>77.126099999999994</v>
      </c>
    </row>
    <row r="52" spans="1:6" ht="14" thickBot="1" x14ac:dyDescent="0.2"/>
    <row r="53" spans="1:6" ht="30" x14ac:dyDescent="0.15">
      <c r="A53" s="80" t="s">
        <v>376</v>
      </c>
      <c r="B53" s="103" t="s">
        <v>68</v>
      </c>
      <c r="C53" s="103" t="s">
        <v>69</v>
      </c>
    </row>
    <row r="54" spans="1:6" ht="15" thickBot="1" x14ac:dyDescent="0.2">
      <c r="A54" s="81" t="s">
        <v>70</v>
      </c>
      <c r="B54" s="56">
        <v>0</v>
      </c>
      <c r="C54" s="56">
        <v>0.3</v>
      </c>
    </row>
    <row r="55" spans="1:6" ht="15" thickBot="1" x14ac:dyDescent="0.2">
      <c r="A55" s="81" t="s">
        <v>71</v>
      </c>
      <c r="B55" s="56">
        <v>1.4</v>
      </c>
      <c r="C55" s="56">
        <v>0.3</v>
      </c>
    </row>
    <row r="56" spans="1:6" ht="15" thickBot="1" x14ac:dyDescent="0.2">
      <c r="A56" s="81" t="s">
        <v>72</v>
      </c>
      <c r="B56" s="56">
        <v>0</v>
      </c>
      <c r="C56" s="56">
        <v>0.3</v>
      </c>
    </row>
    <row r="57" spans="1:6" ht="14" thickBot="1" x14ac:dyDescent="0.2"/>
    <row r="58" spans="1:6" ht="29" thickBot="1" x14ac:dyDescent="0.2">
      <c r="A58" s="414" t="s">
        <v>375</v>
      </c>
      <c r="B58" s="103" t="s">
        <v>73</v>
      </c>
      <c r="C58" s="103" t="s">
        <v>74</v>
      </c>
      <c r="D58" s="103" t="s">
        <v>75</v>
      </c>
      <c r="E58" s="103" t="s">
        <v>76</v>
      </c>
      <c r="F58" s="103" t="s">
        <v>23</v>
      </c>
    </row>
    <row r="59" spans="1:6" ht="17" thickBot="1" x14ac:dyDescent="0.2">
      <c r="A59" s="415"/>
      <c r="B59" s="103" t="s">
        <v>77</v>
      </c>
      <c r="C59" s="103" t="s">
        <v>77</v>
      </c>
      <c r="D59" s="103" t="s">
        <v>77</v>
      </c>
      <c r="E59" s="103" t="s">
        <v>77</v>
      </c>
      <c r="F59" s="103" t="s">
        <v>77</v>
      </c>
    </row>
    <row r="60" spans="1:6" ht="15" thickBot="1" x14ac:dyDescent="0.2">
      <c r="A60" s="81" t="s">
        <v>78</v>
      </c>
      <c r="B60" s="56">
        <v>0</v>
      </c>
      <c r="C60" s="56">
        <v>1.9</v>
      </c>
      <c r="D60" s="56">
        <v>3.6</v>
      </c>
      <c r="E60" s="56">
        <v>0.5</v>
      </c>
      <c r="F60" s="328">
        <f>SUM(B60:E60)</f>
        <v>6</v>
      </c>
    </row>
    <row r="61" spans="1:6" ht="15" thickBot="1" x14ac:dyDescent="0.2">
      <c r="A61" s="81" t="s">
        <v>79</v>
      </c>
      <c r="B61" s="56">
        <v>1.1000000000000001</v>
      </c>
      <c r="C61" s="56">
        <v>0.4</v>
      </c>
      <c r="D61" s="56">
        <v>3.6</v>
      </c>
      <c r="E61" s="56">
        <v>0.5</v>
      </c>
      <c r="F61" s="328">
        <f t="shared" ref="F61:F64" si="0">SUM(B61:E61)</f>
        <v>5.6</v>
      </c>
    </row>
    <row r="62" spans="1:6" ht="15" thickBot="1" x14ac:dyDescent="0.2">
      <c r="A62" s="81" t="s">
        <v>354</v>
      </c>
      <c r="B62" s="56">
        <v>13.1</v>
      </c>
      <c r="C62" s="56">
        <v>0</v>
      </c>
      <c r="D62" s="56">
        <v>13.2</v>
      </c>
      <c r="E62" s="56">
        <v>0.5</v>
      </c>
      <c r="F62" s="328">
        <f t="shared" si="0"/>
        <v>26.799999999999997</v>
      </c>
    </row>
    <row r="63" spans="1:6" ht="15" thickBot="1" x14ac:dyDescent="0.2">
      <c r="A63" s="81" t="s">
        <v>355</v>
      </c>
      <c r="B63" s="56">
        <v>3.9</v>
      </c>
      <c r="C63" s="56">
        <v>0</v>
      </c>
      <c r="D63" s="56">
        <v>4.2</v>
      </c>
      <c r="E63" s="56">
        <v>0.5</v>
      </c>
      <c r="F63" s="328">
        <f t="shared" si="0"/>
        <v>8.6</v>
      </c>
    </row>
    <row r="64" spans="1:6" ht="15" thickBot="1" x14ac:dyDescent="0.2">
      <c r="A64" s="81" t="s">
        <v>356</v>
      </c>
      <c r="B64" s="56">
        <v>2.2000000000000002</v>
      </c>
      <c r="C64" s="56">
        <v>0</v>
      </c>
      <c r="D64" s="56">
        <v>4.2</v>
      </c>
      <c r="E64" s="56">
        <v>0.5</v>
      </c>
      <c r="F64" s="328">
        <f t="shared" si="0"/>
        <v>6.9</v>
      </c>
    </row>
    <row r="65" spans="1:12" ht="14" thickBot="1" x14ac:dyDescent="0.2">
      <c r="I65" s="40"/>
      <c r="J65" s="40"/>
      <c r="K65" s="40"/>
    </row>
    <row r="66" spans="1:12" ht="20" thickBot="1" x14ac:dyDescent="0.2">
      <c r="A66" s="80" t="s">
        <v>264</v>
      </c>
      <c r="B66" s="50" t="s">
        <v>45</v>
      </c>
      <c r="C66" s="51" t="s">
        <v>58</v>
      </c>
      <c r="D66" s="52"/>
      <c r="E66" s="108"/>
      <c r="F66" s="50"/>
      <c r="G66" s="40"/>
      <c r="H66"/>
    </row>
    <row r="67" spans="1:12" ht="17" thickBot="1" x14ac:dyDescent="0.2">
      <c r="A67" s="57" t="s">
        <v>34</v>
      </c>
      <c r="B67" s="54" t="s">
        <v>51</v>
      </c>
      <c r="C67" s="288">
        <f>C35</f>
        <v>36.1</v>
      </c>
      <c r="D67" s="112"/>
      <c r="E67" s="112"/>
      <c r="F67" s="112"/>
      <c r="G67" s="40"/>
      <c r="H67"/>
    </row>
    <row r="68" spans="1:12" ht="15" thickBot="1" x14ac:dyDescent="0.2">
      <c r="A68" s="57" t="s">
        <v>346</v>
      </c>
      <c r="B68" s="54" t="s">
        <v>52</v>
      </c>
      <c r="C68" s="237">
        <f>C28</f>
        <v>8280</v>
      </c>
      <c r="D68" s="115"/>
      <c r="E68" s="112"/>
      <c r="F68" s="112"/>
      <c r="G68" s="40"/>
      <c r="H68"/>
    </row>
    <row r="69" spans="1:12" x14ac:dyDescent="0.15">
      <c r="A69" s="305"/>
      <c r="B69" s="305"/>
      <c r="C69" s="306"/>
      <c r="D69" s="307"/>
      <c r="E69" s="308"/>
      <c r="F69" s="308"/>
      <c r="G69" s="40"/>
      <c r="H69"/>
    </row>
    <row r="70" spans="1:12" ht="24.75" customHeight="1" x14ac:dyDescent="0.15">
      <c r="A70" s="250" t="s">
        <v>282</v>
      </c>
      <c r="B70" s="250" t="s">
        <v>283</v>
      </c>
      <c r="C70" s="251" t="s">
        <v>284</v>
      </c>
      <c r="D70" s="250" t="s">
        <v>2</v>
      </c>
      <c r="E70" s="250" t="s">
        <v>31</v>
      </c>
      <c r="F70" s="250" t="s">
        <v>36</v>
      </c>
      <c r="G70" s="250" t="s">
        <v>326</v>
      </c>
      <c r="H70"/>
      <c r="I70" s="40"/>
      <c r="J70" s="40"/>
      <c r="K70" s="40"/>
      <c r="L70" s="40"/>
    </row>
    <row r="71" spans="1:12" ht="42" x14ac:dyDescent="0.15">
      <c r="A71" s="252" t="s">
        <v>285</v>
      </c>
      <c r="B71" s="253" t="s">
        <v>286</v>
      </c>
      <c r="C71" s="254" t="s">
        <v>37</v>
      </c>
      <c r="D71" s="255">
        <v>1</v>
      </c>
      <c r="E71" s="256">
        <v>1</v>
      </c>
      <c r="F71" s="257">
        <f t="shared" ref="F71:F76" si="1">E71/$E$77</f>
        <v>1</v>
      </c>
      <c r="G71" s="255"/>
      <c r="H71"/>
      <c r="I71" s="40"/>
      <c r="J71" s="40"/>
      <c r="K71" s="40"/>
      <c r="L71" s="40"/>
    </row>
    <row r="72" spans="1:12" ht="42" x14ac:dyDescent="0.15">
      <c r="A72" s="252" t="s">
        <v>285</v>
      </c>
      <c r="B72" s="253" t="s">
        <v>286</v>
      </c>
      <c r="C72" s="254" t="s">
        <v>287</v>
      </c>
      <c r="D72" s="255"/>
      <c r="E72" s="256"/>
      <c r="F72" s="257">
        <f t="shared" si="1"/>
        <v>0</v>
      </c>
      <c r="G72" s="255"/>
      <c r="H72"/>
      <c r="I72" s="40"/>
      <c r="J72" s="40"/>
      <c r="K72" s="40"/>
      <c r="L72" s="40"/>
    </row>
    <row r="73" spans="1:12" ht="42" x14ac:dyDescent="0.15">
      <c r="A73" s="258" t="s">
        <v>288</v>
      </c>
      <c r="B73" s="253" t="s">
        <v>286</v>
      </c>
      <c r="C73" s="254" t="s">
        <v>37</v>
      </c>
      <c r="D73" s="255"/>
      <c r="E73" s="256"/>
      <c r="F73" s="257">
        <f t="shared" si="1"/>
        <v>0</v>
      </c>
      <c r="G73" s="255"/>
      <c r="H73"/>
      <c r="I73" s="40"/>
      <c r="J73" s="40"/>
      <c r="K73" s="40"/>
      <c r="L73" s="40"/>
    </row>
    <row r="74" spans="1:12" ht="42" x14ac:dyDescent="0.15">
      <c r="A74" s="258" t="s">
        <v>288</v>
      </c>
      <c r="B74" s="253" t="s">
        <v>286</v>
      </c>
      <c r="C74" s="254" t="s">
        <v>287</v>
      </c>
      <c r="D74" s="255"/>
      <c r="E74" s="256"/>
      <c r="F74" s="257">
        <f t="shared" si="1"/>
        <v>0</v>
      </c>
      <c r="G74" s="255"/>
      <c r="H74"/>
      <c r="I74" s="40"/>
      <c r="J74" s="40"/>
      <c r="K74" s="40"/>
      <c r="L74" s="40"/>
    </row>
    <row r="75" spans="1:12" ht="42" x14ac:dyDescent="0.15">
      <c r="A75" s="258" t="s">
        <v>289</v>
      </c>
      <c r="B75" s="253" t="s">
        <v>290</v>
      </c>
      <c r="C75" s="254" t="s">
        <v>291</v>
      </c>
      <c r="D75" s="255"/>
      <c r="E75" s="256"/>
      <c r="F75" s="257">
        <f t="shared" si="1"/>
        <v>0</v>
      </c>
      <c r="G75" s="255"/>
      <c r="H75"/>
      <c r="I75" s="40"/>
      <c r="J75" s="40"/>
      <c r="K75" s="40"/>
      <c r="L75" s="40"/>
    </row>
    <row r="76" spans="1:12" ht="42" x14ac:dyDescent="0.15">
      <c r="A76" s="258" t="s">
        <v>289</v>
      </c>
      <c r="B76" s="253" t="s">
        <v>290</v>
      </c>
      <c r="C76" s="254" t="s">
        <v>37</v>
      </c>
      <c r="D76" s="255"/>
      <c r="E76" s="256"/>
      <c r="F76" s="257">
        <f t="shared" si="1"/>
        <v>0</v>
      </c>
      <c r="G76" s="255"/>
      <c r="H76"/>
      <c r="I76" s="40"/>
      <c r="J76" s="40"/>
      <c r="K76" s="40"/>
      <c r="L76" s="40"/>
    </row>
    <row r="77" spans="1:12" x14ac:dyDescent="0.15">
      <c r="A77" s="258"/>
      <c r="B77" s="254" t="s">
        <v>38</v>
      </c>
      <c r="C77" s="254"/>
      <c r="D77" s="258">
        <f>SUMPRODUCT(D71:D76,E71:E76)/SUM(E71:E76)</f>
        <v>1</v>
      </c>
      <c r="E77" s="259">
        <f>SUM(E71:E76)</f>
        <v>1</v>
      </c>
      <c r="F77" s="257"/>
      <c r="G77" s="258">
        <f>SUMPRODUCT(G71:G76,E71:E76)/SUM(E71:E76)</f>
        <v>0</v>
      </c>
      <c r="H77"/>
      <c r="I77" s="40"/>
      <c r="J77" s="40"/>
      <c r="K77" s="40"/>
      <c r="L77" s="40"/>
    </row>
    <row r="78" spans="1:12" s="8" customFormat="1" x14ac:dyDescent="0.15">
      <c r="A78" s="300"/>
      <c r="B78" s="418" t="s">
        <v>379</v>
      </c>
      <c r="C78" s="419"/>
      <c r="D78" s="256">
        <v>1</v>
      </c>
      <c r="E78" s="304">
        <f>E77/D78</f>
        <v>1</v>
      </c>
      <c r="F78" s="338" t="s">
        <v>357</v>
      </c>
      <c r="I78" s="301"/>
      <c r="J78" s="301"/>
      <c r="K78" s="301"/>
      <c r="L78" s="301"/>
    </row>
    <row r="79" spans="1:12" x14ac:dyDescent="0.15">
      <c r="A79" s="258"/>
      <c r="B79" s="254" t="s">
        <v>380</v>
      </c>
      <c r="C79" s="254"/>
      <c r="D79" s="256">
        <v>1</v>
      </c>
      <c r="E79" s="302">
        <f>E78*D79</f>
        <v>1</v>
      </c>
      <c r="F79" s="257">
        <f>E79/E77</f>
        <v>1</v>
      </c>
      <c r="H79"/>
      <c r="I79" s="40"/>
      <c r="J79" s="40"/>
      <c r="K79" s="40"/>
      <c r="L79" s="40"/>
    </row>
    <row r="80" spans="1:12" x14ac:dyDescent="0.15">
      <c r="A80" s="309"/>
      <c r="B80" s="309"/>
      <c r="C80" s="309"/>
      <c r="D80" s="309"/>
      <c r="E80" s="309"/>
      <c r="F80" s="309"/>
      <c r="H80"/>
      <c r="I80" s="40"/>
      <c r="J80" s="40"/>
      <c r="K80" s="40"/>
      <c r="L80" s="40"/>
    </row>
    <row r="81" spans="1:11" ht="29" x14ac:dyDescent="0.2">
      <c r="A81" s="203" t="s">
        <v>221</v>
      </c>
      <c r="B81" s="204" t="s">
        <v>42</v>
      </c>
      <c r="C81" s="208" t="s">
        <v>364</v>
      </c>
      <c r="D81" s="208" t="s">
        <v>363</v>
      </c>
      <c r="E81" s="206" t="s">
        <v>80</v>
      </c>
      <c r="I81" s="40"/>
      <c r="J81" s="40"/>
      <c r="K81" s="40"/>
    </row>
    <row r="82" spans="1:11" x14ac:dyDescent="0.15">
      <c r="A82" s="201" t="s">
        <v>70</v>
      </c>
      <c r="B82" s="224">
        <f>SUM(B54:C54)</f>
        <v>0.3</v>
      </c>
      <c r="C82" s="201"/>
      <c r="D82" s="201"/>
      <c r="E82" s="299">
        <v>0</v>
      </c>
      <c r="I82" s="40"/>
      <c r="J82" s="40"/>
      <c r="K82" s="40"/>
    </row>
    <row r="83" spans="1:11" x14ac:dyDescent="0.15">
      <c r="A83" s="201" t="s">
        <v>71</v>
      </c>
      <c r="B83" s="224">
        <f>SUM(B55:C55)</f>
        <v>1.7</v>
      </c>
      <c r="C83" s="201"/>
      <c r="D83" s="201"/>
      <c r="E83" s="299">
        <v>0</v>
      </c>
      <c r="I83" s="40"/>
      <c r="J83" s="40"/>
      <c r="K83" s="40"/>
    </row>
    <row r="84" spans="1:11" x14ac:dyDescent="0.15">
      <c r="A84" s="201" t="s">
        <v>72</v>
      </c>
      <c r="B84" s="224">
        <f>SUM(B56:C56)</f>
        <v>0.3</v>
      </c>
      <c r="C84" s="201"/>
      <c r="D84" s="201"/>
      <c r="E84" s="299">
        <v>1</v>
      </c>
    </row>
    <row r="85" spans="1:11" x14ac:dyDescent="0.15">
      <c r="A85" s="201" t="s">
        <v>81</v>
      </c>
      <c r="B85" s="201"/>
      <c r="C85" s="207">
        <f>D85*$C$68</f>
        <v>2484</v>
      </c>
      <c r="D85" s="207">
        <f>SUMPRODUCT(E82:E84,B82:B84)</f>
        <v>0.3</v>
      </c>
      <c r="E85" s="201"/>
    </row>
    <row r="86" spans="1:11" x14ac:dyDescent="0.15">
      <c r="A86" s="39"/>
      <c r="B86" s="39"/>
      <c r="C86" s="39"/>
      <c r="D86" s="39"/>
      <c r="E86" s="39"/>
    </row>
    <row r="87" spans="1:11" ht="28" x14ac:dyDescent="0.2">
      <c r="A87" s="203" t="s">
        <v>222</v>
      </c>
      <c r="B87" s="206" t="s">
        <v>42</v>
      </c>
      <c r="C87" s="208" t="s">
        <v>364</v>
      </c>
      <c r="D87" s="208" t="s">
        <v>363</v>
      </c>
      <c r="E87" s="205"/>
    </row>
    <row r="88" spans="1:11" x14ac:dyDescent="0.15">
      <c r="A88" s="201" t="s">
        <v>226</v>
      </c>
      <c r="B88" s="224">
        <v>0</v>
      </c>
      <c r="C88" s="207">
        <f>D88*C68</f>
        <v>0</v>
      </c>
      <c r="D88" s="207">
        <f>B88</f>
        <v>0</v>
      </c>
      <c r="E88" s="201"/>
    </row>
    <row r="89" spans="1:11" x14ac:dyDescent="0.15">
      <c r="A89" s="39"/>
      <c r="B89" s="39"/>
      <c r="C89" s="39"/>
      <c r="D89" s="39"/>
      <c r="E89" s="39"/>
    </row>
    <row r="90" spans="1:11" ht="37.25" customHeight="1" x14ac:dyDescent="0.2">
      <c r="A90" s="203" t="s">
        <v>224</v>
      </c>
      <c r="B90" s="206" t="s">
        <v>42</v>
      </c>
      <c r="C90" s="208" t="s">
        <v>364</v>
      </c>
      <c r="D90" s="208" t="s">
        <v>363</v>
      </c>
      <c r="E90" s="205"/>
      <c r="G90" s="40"/>
    </row>
    <row r="91" spans="1:11" x14ac:dyDescent="0.15">
      <c r="A91" s="209" t="s">
        <v>32</v>
      </c>
      <c r="B91" s="225">
        <f>D32</f>
        <v>95.1</v>
      </c>
      <c r="C91" s="207">
        <f>'BASIC DATA'!E30*GHG!B91*GHG!C32</f>
        <v>0</v>
      </c>
      <c r="D91" s="212"/>
      <c r="E91" s="201"/>
      <c r="H91"/>
      <c r="I91" s="49"/>
    </row>
    <row r="92" spans="1:11" x14ac:dyDescent="0.15">
      <c r="A92" s="209" t="s">
        <v>26</v>
      </c>
      <c r="B92" s="224">
        <f>D39</f>
        <v>78.06</v>
      </c>
      <c r="C92" s="207">
        <f>'BASIC DATA'!E49*GHG!B92*GHG!C36</f>
        <v>0</v>
      </c>
      <c r="D92" s="212"/>
      <c r="E92" s="201"/>
      <c r="H92"/>
    </row>
    <row r="93" spans="1:11" x14ac:dyDescent="0.15">
      <c r="A93" s="209" t="s">
        <v>34</v>
      </c>
      <c r="B93" s="224">
        <f>D35</f>
        <v>66</v>
      </c>
      <c r="C93" s="207">
        <f>'BASIC DATA'!E42*GHG!B93</f>
        <v>0</v>
      </c>
      <c r="D93" s="212"/>
      <c r="E93" s="201"/>
      <c r="H93"/>
    </row>
    <row r="94" spans="1:11" x14ac:dyDescent="0.15">
      <c r="A94" s="209" t="s">
        <v>320</v>
      </c>
      <c r="B94" s="210">
        <f>Electricity!F6</f>
        <v>183</v>
      </c>
      <c r="C94" s="207">
        <f>3.6*B94*'BASIC DATA'!E25</f>
        <v>0</v>
      </c>
      <c r="D94" s="212"/>
      <c r="E94" s="201"/>
      <c r="H94"/>
    </row>
    <row r="95" spans="1:11" x14ac:dyDescent="0.15">
      <c r="A95" s="213" t="s">
        <v>23</v>
      </c>
      <c r="B95" s="201"/>
      <c r="C95" s="207">
        <f>SUM(C91:C94)</f>
        <v>0</v>
      </c>
      <c r="D95" s="212">
        <f>C95/$C$68</f>
        <v>0</v>
      </c>
      <c r="E95" s="211"/>
      <c r="F95" s="39"/>
      <c r="H95"/>
    </row>
    <row r="96" spans="1:11" x14ac:dyDescent="0.15">
      <c r="A96" s="39"/>
      <c r="B96" s="39"/>
      <c r="C96" s="202"/>
      <c r="D96" s="39"/>
      <c r="E96" s="46"/>
      <c r="F96" s="39"/>
      <c r="H96"/>
    </row>
    <row r="97" spans="1:8" ht="35.5" customHeight="1" x14ac:dyDescent="0.2">
      <c r="A97" s="203" t="s">
        <v>223</v>
      </c>
      <c r="B97" s="206" t="s">
        <v>42</v>
      </c>
      <c r="C97" s="214" t="s">
        <v>364</v>
      </c>
      <c r="D97" s="208" t="s">
        <v>363</v>
      </c>
      <c r="E97" s="215"/>
      <c r="F97" s="39"/>
      <c r="H97"/>
    </row>
    <row r="98" spans="1:8" x14ac:dyDescent="0.15">
      <c r="A98" s="266" t="s">
        <v>293</v>
      </c>
      <c r="B98" s="224"/>
      <c r="C98" s="207"/>
      <c r="D98" s="212"/>
      <c r="E98" s="211"/>
      <c r="F98" s="39"/>
      <c r="H98"/>
    </row>
    <row r="99" spans="1:8" x14ac:dyDescent="0.15">
      <c r="A99" s="260" t="s">
        <v>296</v>
      </c>
      <c r="B99" s="267">
        <f>$D$32</f>
        <v>95.1</v>
      </c>
      <c r="C99" s="262">
        <f>'BASIC DATA'!E7*GHG!B99*'BASIC DATA'!E8</f>
        <v>77.126099999999994</v>
      </c>
      <c r="D99" s="263">
        <f>C99/$C$27</f>
        <v>4.5679992892679452E-3</v>
      </c>
      <c r="E99" s="264"/>
      <c r="F99" s="39"/>
      <c r="H99"/>
    </row>
    <row r="100" spans="1:8" x14ac:dyDescent="0.15">
      <c r="A100" s="260" t="s">
        <v>297</v>
      </c>
      <c r="B100" s="267">
        <f>$D$32</f>
        <v>95.1</v>
      </c>
      <c r="C100" s="262">
        <f>'BASIC DATA'!E16*'BASIC DATA'!E17*GHG!B100</f>
        <v>0</v>
      </c>
      <c r="D100" s="263">
        <f t="shared" ref="D100:D102" si="2">C100/$C$27</f>
        <v>0</v>
      </c>
      <c r="E100" s="264"/>
      <c r="F100" s="39"/>
      <c r="H100"/>
    </row>
    <row r="101" spans="1:8" x14ac:dyDescent="0.15">
      <c r="A101" s="260" t="s">
        <v>298</v>
      </c>
      <c r="B101" s="267">
        <f>$D$32</f>
        <v>95.1</v>
      </c>
      <c r="C101" s="262">
        <f>'BASIC DATA'!E10*'BASIC DATA'!E11*GHG!B101</f>
        <v>0</v>
      </c>
      <c r="D101" s="263">
        <f t="shared" si="2"/>
        <v>0</v>
      </c>
      <c r="E101" s="264"/>
      <c r="F101" s="39"/>
      <c r="H101"/>
    </row>
    <row r="102" spans="1:8" x14ac:dyDescent="0.15">
      <c r="A102" s="260" t="s">
        <v>299</v>
      </c>
      <c r="B102" s="210">
        <f>B94</f>
        <v>183</v>
      </c>
      <c r="C102" s="262">
        <f>'BASIC DATA'!E13*'BASIC DATA'!E14*GHG!B102</f>
        <v>0</v>
      </c>
      <c r="D102" s="263">
        <f t="shared" si="2"/>
        <v>0</v>
      </c>
      <c r="E102" s="264"/>
      <c r="F102" s="39"/>
      <c r="H102"/>
    </row>
    <row r="103" spans="1:8" x14ac:dyDescent="0.15">
      <c r="A103" s="265" t="s">
        <v>295</v>
      </c>
      <c r="B103" s="267"/>
      <c r="C103" s="262"/>
      <c r="D103" s="263"/>
      <c r="E103" s="264"/>
      <c r="F103" s="39"/>
      <c r="H103"/>
    </row>
    <row r="104" spans="1:8" x14ac:dyDescent="0.15">
      <c r="A104" s="260"/>
      <c r="B104" s="267"/>
      <c r="C104" s="262">
        <f>SUM(C99:C102)/ENERGY!C11</f>
        <v>42.419354999999996</v>
      </c>
      <c r="D104" s="263">
        <f>C104/C68</f>
        <v>5.1231105072463761E-3</v>
      </c>
      <c r="E104" s="264"/>
      <c r="F104" s="39"/>
      <c r="H104"/>
    </row>
    <row r="105" spans="1:8" x14ac:dyDescent="0.15">
      <c r="A105" s="265" t="s">
        <v>294</v>
      </c>
      <c r="B105" s="261"/>
      <c r="C105" s="262"/>
      <c r="D105" s="263"/>
      <c r="E105" s="264"/>
      <c r="F105" s="39"/>
      <c r="H105"/>
    </row>
    <row r="106" spans="1:8" x14ac:dyDescent="0.15">
      <c r="A106" s="260" t="s">
        <v>300</v>
      </c>
      <c r="B106" s="267">
        <f t="shared" ref="B106:B108" si="3">$D$32</f>
        <v>95.1</v>
      </c>
      <c r="C106" s="262">
        <f>'BASIC DATA'!E77*'BASIC DATA'!E78*GHG!B106</f>
        <v>0</v>
      </c>
      <c r="D106" s="263">
        <f>C106/$C$27</f>
        <v>0</v>
      </c>
      <c r="E106" s="264"/>
      <c r="F106" s="39"/>
      <c r="H106"/>
    </row>
    <row r="107" spans="1:8" x14ac:dyDescent="0.15">
      <c r="A107" s="260" t="s">
        <v>301</v>
      </c>
      <c r="B107" s="267">
        <f t="shared" si="3"/>
        <v>95.1</v>
      </c>
      <c r="C107" s="262">
        <f>'BASIC DATA'!E86*'BASIC DATA'!E87*GHG!B107</f>
        <v>0</v>
      </c>
      <c r="D107" s="263">
        <f t="shared" ref="D107:D111" si="4">C107/$C$27</f>
        <v>0</v>
      </c>
      <c r="E107" s="264"/>
      <c r="F107" s="39"/>
      <c r="H107"/>
    </row>
    <row r="108" spans="1:8" x14ac:dyDescent="0.15">
      <c r="A108" s="260" t="s">
        <v>302</v>
      </c>
      <c r="B108" s="267">
        <f t="shared" si="3"/>
        <v>95.1</v>
      </c>
      <c r="C108" s="262">
        <f>'BASIC DATA'!E80*'BASIC DATA'!E81*GHG!B108</f>
        <v>0</v>
      </c>
      <c r="D108" s="263">
        <f t="shared" si="4"/>
        <v>0</v>
      </c>
      <c r="E108" s="264"/>
      <c r="F108" s="39"/>
      <c r="H108"/>
    </row>
    <row r="109" spans="1:8" x14ac:dyDescent="0.15">
      <c r="A109" s="260" t="s">
        <v>303</v>
      </c>
      <c r="B109" s="210">
        <f>B94</f>
        <v>183</v>
      </c>
      <c r="C109" s="262">
        <f>'BASIC DATA'!E83*'BASIC DATA'!E84*GHG!B109</f>
        <v>0</v>
      </c>
      <c r="D109" s="263">
        <f t="shared" si="4"/>
        <v>0</v>
      </c>
      <c r="E109" s="264"/>
      <c r="F109" s="39"/>
      <c r="H109"/>
    </row>
    <row r="110" spans="1:8" x14ac:dyDescent="0.15">
      <c r="A110" s="260" t="s">
        <v>304</v>
      </c>
      <c r="B110" s="267">
        <f>D31</f>
        <v>94.2</v>
      </c>
      <c r="C110" s="262">
        <f>'BASIC DATA'!E94*'BASIC DATA'!E95*GHG!B110</f>
        <v>0</v>
      </c>
      <c r="D110" s="263">
        <f t="shared" si="4"/>
        <v>0</v>
      </c>
      <c r="E110" s="264"/>
      <c r="F110" s="39"/>
      <c r="H110"/>
    </row>
    <row r="111" spans="1:8" x14ac:dyDescent="0.15">
      <c r="A111" s="265" t="s">
        <v>305</v>
      </c>
      <c r="B111" s="261"/>
      <c r="C111" s="262">
        <f>SUM(C106:C110)</f>
        <v>0</v>
      </c>
      <c r="D111" s="263">
        <f t="shared" si="4"/>
        <v>0</v>
      </c>
      <c r="E111" s="264"/>
      <c r="F111" s="39"/>
      <c r="H111"/>
    </row>
    <row r="112" spans="1:8" x14ac:dyDescent="0.15">
      <c r="A112" s="268" t="s">
        <v>365</v>
      </c>
      <c r="B112" s="201"/>
      <c r="C112" s="40">
        <f>C111+C104</f>
        <v>42.419354999999996</v>
      </c>
      <c r="D112" s="271">
        <f>(C104+C111)/$C$68</f>
        <v>5.1231105072463761E-3</v>
      </c>
      <c r="E112" s="211"/>
      <c r="F112" s="39"/>
      <c r="G112" s="40"/>
    </row>
    <row r="113" spans="1:10" ht="14.5" customHeight="1" x14ac:dyDescent="0.15">
      <c r="A113" s="38"/>
      <c r="B113" s="38"/>
      <c r="C113" s="38"/>
      <c r="D113" s="38"/>
      <c r="E113" s="38"/>
      <c r="F113" s="38"/>
      <c r="I113" s="40"/>
    </row>
    <row r="114" spans="1:10" s="1" customFormat="1" ht="28" x14ac:dyDescent="0.2">
      <c r="A114" s="203" t="s">
        <v>225</v>
      </c>
      <c r="B114" s="206" t="s">
        <v>42</v>
      </c>
      <c r="C114" s="214" t="s">
        <v>364</v>
      </c>
      <c r="D114" s="208" t="s">
        <v>363</v>
      </c>
      <c r="E114" s="38"/>
      <c r="H114" s="82"/>
    </row>
    <row r="115" spans="1:10" ht="21" customHeight="1" x14ac:dyDescent="0.15">
      <c r="A115" s="201" t="s">
        <v>33</v>
      </c>
      <c r="B115" s="223">
        <v>0</v>
      </c>
      <c r="C115" s="334">
        <f>D115/$C$68</f>
        <v>0</v>
      </c>
      <c r="D115" s="207">
        <v>0</v>
      </c>
      <c r="E115" s="38"/>
    </row>
    <row r="116" spans="1:10" x14ac:dyDescent="0.15">
      <c r="A116" s="39"/>
      <c r="B116" s="39"/>
      <c r="C116" s="39"/>
      <c r="D116" s="39"/>
      <c r="E116" s="39"/>
    </row>
    <row r="117" spans="1:10" s="83" customFormat="1" ht="22.5" customHeight="1" x14ac:dyDescent="0.2">
      <c r="A117" s="203" t="s">
        <v>39</v>
      </c>
      <c r="B117" s="206"/>
      <c r="C117" s="206" t="s">
        <v>343</v>
      </c>
      <c r="D117" s="206" t="s">
        <v>344</v>
      </c>
      <c r="E117" s="39"/>
      <c r="H117" s="84"/>
    </row>
    <row r="118" spans="1:10" ht="14" customHeight="1" x14ac:dyDescent="0.15">
      <c r="A118" s="326" t="s">
        <v>333</v>
      </c>
      <c r="B118" s="216"/>
      <c r="C118" s="329">
        <f>F60</f>
        <v>6</v>
      </c>
      <c r="D118" s="332">
        <f>(C85+C88+C95+C112+C115)/$C$68</f>
        <v>0.30512311050724639</v>
      </c>
      <c r="E118" s="39"/>
      <c r="I118" s="46"/>
      <c r="J118" s="39"/>
    </row>
    <row r="119" spans="1:10" ht="14" customHeight="1" x14ac:dyDescent="0.15">
      <c r="A119" s="330"/>
      <c r="B119" s="324"/>
      <c r="C119" s="331" t="s">
        <v>372</v>
      </c>
      <c r="D119" s="333" t="s">
        <v>345</v>
      </c>
      <c r="E119" s="39"/>
      <c r="I119" s="46"/>
      <c r="J119" s="39"/>
    </row>
    <row r="120" spans="1:10" x14ac:dyDescent="0.15">
      <c r="A120" s="325" t="s">
        <v>340</v>
      </c>
      <c r="B120" s="216" t="s">
        <v>36</v>
      </c>
      <c r="C120" s="298">
        <v>0.61109999999999998</v>
      </c>
      <c r="D120" s="298">
        <v>0.61109999999999998</v>
      </c>
      <c r="E120" s="39"/>
    </row>
    <row r="121" spans="1:10" x14ac:dyDescent="0.15">
      <c r="A121" s="325" t="s">
        <v>341</v>
      </c>
      <c r="B121" s="216" t="s">
        <v>36</v>
      </c>
      <c r="C121" s="298">
        <v>0.27279999999999999</v>
      </c>
      <c r="D121" s="298">
        <v>0.27279999999999999</v>
      </c>
      <c r="E121" s="39"/>
    </row>
    <row r="122" spans="1:10" x14ac:dyDescent="0.15">
      <c r="A122" s="201" t="s">
        <v>330</v>
      </c>
      <c r="B122" s="216" t="s">
        <v>331</v>
      </c>
      <c r="C122" s="323">
        <v>180</v>
      </c>
      <c r="D122" s="323">
        <v>180</v>
      </c>
      <c r="E122" s="39"/>
    </row>
    <row r="123" spans="1:10" x14ac:dyDescent="0.15">
      <c r="A123" s="254" t="s">
        <v>332</v>
      </c>
      <c r="B123" s="324" t="s">
        <v>36</v>
      </c>
      <c r="C123" s="322">
        <f>C122/(C122+273.15)</f>
        <v>0.39721946375372397</v>
      </c>
      <c r="D123" s="322">
        <f>D122/(D122+273.15)</f>
        <v>0.39721946375372397</v>
      </c>
      <c r="E123" s="39"/>
    </row>
    <row r="124" spans="1:10" x14ac:dyDescent="0.15">
      <c r="A124" s="254" t="s">
        <v>337</v>
      </c>
      <c r="B124" s="324" t="s">
        <v>36</v>
      </c>
      <c r="C124" s="322">
        <v>1</v>
      </c>
      <c r="D124" s="322">
        <v>1</v>
      </c>
      <c r="E124" s="39"/>
    </row>
    <row r="125" spans="1:10" x14ac:dyDescent="0.15">
      <c r="A125" s="39"/>
      <c r="B125" s="39"/>
      <c r="C125" s="39"/>
      <c r="D125" s="39"/>
      <c r="E125" s="39"/>
    </row>
    <row r="126" spans="1:10" ht="20" x14ac:dyDescent="0.2">
      <c r="A126" s="203" t="s">
        <v>228</v>
      </c>
      <c r="B126" s="204" t="s">
        <v>339</v>
      </c>
      <c r="C126" s="217" t="s">
        <v>373</v>
      </c>
      <c r="D126" s="217" t="s">
        <v>374</v>
      </c>
      <c r="E126" s="39"/>
    </row>
    <row r="127" spans="1:10" x14ac:dyDescent="0.15">
      <c r="A127" s="200"/>
      <c r="B127" s="217" t="s">
        <v>338</v>
      </c>
      <c r="C127" s="217" t="s">
        <v>36</v>
      </c>
      <c r="D127" s="217" t="s">
        <v>36</v>
      </c>
      <c r="E127" s="39"/>
    </row>
    <row r="128" spans="1:10" x14ac:dyDescent="0.15">
      <c r="A128" s="200" t="s">
        <v>227</v>
      </c>
      <c r="B128" s="222">
        <v>183</v>
      </c>
      <c r="C128" s="272">
        <f>IF(OR(ISBLANK(C121),ISBLANK(C118),,C118=0),"",IFERROR(($B128-(C118/C121))/$B128,""))</f>
        <v>0.8798134705062256</v>
      </c>
      <c r="D128" s="272">
        <f>IF(OR(ISBLANK(D121),ISBLANK(D118),,D118=0),"",IFERROR(($B128-(D118/D121))/$B128,""))</f>
        <v>0.99388805204663144</v>
      </c>
      <c r="E128" s="39"/>
    </row>
    <row r="129" spans="1:5" x14ac:dyDescent="0.15">
      <c r="A129" s="200" t="s">
        <v>329</v>
      </c>
      <c r="B129" s="222">
        <v>80</v>
      </c>
      <c r="C129" s="272">
        <f>IF(OR(ISBLANK(C120),ISBLANK(C118),,C118=0),"",IFERROR((($B129-(C118/C120))/$B129),""))</f>
        <v>0.87727049582719696</v>
      </c>
      <c r="D129" s="272">
        <f>IF(OR(ISBLANK(D120),ISBLANK(D118),,D118=0),"",IFERROR((($B129-(D118/D120))/$B129),""))</f>
        <v>0.99375873198929698</v>
      </c>
      <c r="E129" s="39"/>
    </row>
    <row r="130" spans="1:5" x14ac:dyDescent="0.15">
      <c r="A130" s="200" t="s">
        <v>336</v>
      </c>
      <c r="B130" s="222">
        <v>124</v>
      </c>
      <c r="C130" s="272">
        <f>IF(OR(ISBLANK(C120),ISBLANK(C118),,C118=0),"",IFERROR((($B130-(C118/C120))/$B130),""))</f>
        <v>0.92081967472722381</v>
      </c>
      <c r="D130" s="272">
        <f>IF(OR(ISBLANK(D120),ISBLANK(D118),,D118=0),"",IFERROR((($B130-(D118/D120))/$B130),""))</f>
        <v>0.99597337547696574</v>
      </c>
      <c r="E130" s="39"/>
    </row>
    <row r="131" spans="1:5" x14ac:dyDescent="0.15">
      <c r="A131" s="200" t="s">
        <v>334</v>
      </c>
      <c r="B131" s="222"/>
      <c r="C131" s="272">
        <f>IF(OR(ISBLANK(C121),ISBLANK(C118),ISBLANK(C124),ISBLANK(C120),ISBLANK(C123),,C118=0),"",IFERROR(($B$128-(C118/C121)*((C124*C121)/(C124*C121+C123*C120)))/$B$128,""))</f>
        <v>0.93640293001743047</v>
      </c>
      <c r="D131" s="272">
        <f>IF(OR(ISBLANK(D121),ISBLANK(D118),ISBLANK(D124),ISBLANK(D120),ISBLANK(D123),,D118=0),"",IFERROR(($B$128-(D118/D121)*((D124*D121)/(D124*D121+D123*D120)))/$B$128,""))</f>
        <v>0.99676584403129531</v>
      </c>
      <c r="E131" s="39"/>
    </row>
    <row r="132" spans="1:5" x14ac:dyDescent="0.15">
      <c r="A132" s="200" t="s">
        <v>335</v>
      </c>
      <c r="B132" s="222"/>
      <c r="C132" s="272">
        <f>IF(OR(ISBLANK(C121),ISBLANK(C118),ISBLANK(C124),ISBLANK(C120),ISBLANK(C123),,C118=0),"",IFERROR(($B$129-(C118/C120)*((C123*C120)/(C124*C121+C123*C120)))/$B$129,""))</f>
        <v>0.94221318864543091</v>
      </c>
      <c r="D132" s="272">
        <f>IF(OR(ISBLANK(D121),ISBLANK(D118),ISBLANK(D124),ISBLANK(D120),ISBLANK(D123),,D118=0),"",IFERROR(($B$129-(D118/D120)*((D123*D120)/(D124*D121+D123*D120)))/$B$129,""))</f>
        <v>0.99706131806219978</v>
      </c>
    </row>
  </sheetData>
  <mergeCells count="4">
    <mergeCell ref="A1:D1"/>
    <mergeCell ref="A58:A59"/>
    <mergeCell ref="B45:B46"/>
    <mergeCell ref="B78:C7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9CC4-E52F-42D9-94E8-0ACC45658C7F}">
  <dimension ref="A1:F36"/>
  <sheetViews>
    <sheetView workbookViewId="0">
      <selection activeCell="I36" sqref="I36"/>
    </sheetView>
  </sheetViews>
  <sheetFormatPr baseColWidth="10" defaultColWidth="10.83203125" defaultRowHeight="13" x14ac:dyDescent="0.15"/>
  <cols>
    <col min="1" max="1" width="15.5" customWidth="1"/>
    <col min="2" max="2" width="51.5" bestFit="1" customWidth="1"/>
    <col min="3" max="5" width="0" hidden="1" customWidth="1"/>
    <col min="6" max="6" width="11.5" style="344" bestFit="1" customWidth="1"/>
  </cols>
  <sheetData>
    <row r="1" spans="1:6" ht="14" thickBot="1" x14ac:dyDescent="0.2"/>
    <row r="2" spans="1:6" x14ac:dyDescent="0.15">
      <c r="A2" s="420" t="s">
        <v>381</v>
      </c>
      <c r="B2" s="421"/>
      <c r="C2" s="345"/>
      <c r="D2" s="345"/>
      <c r="E2" s="345"/>
      <c r="F2" s="346" t="s">
        <v>382</v>
      </c>
    </row>
    <row r="3" spans="1:6" x14ac:dyDescent="0.15">
      <c r="A3" s="422"/>
      <c r="B3" s="423"/>
      <c r="C3" s="347">
        <v>2014</v>
      </c>
      <c r="D3" s="347"/>
      <c r="E3" s="347"/>
      <c r="F3" s="348" t="s">
        <v>383</v>
      </c>
    </row>
    <row r="4" spans="1:6" ht="15" x14ac:dyDescent="0.2">
      <c r="A4" s="424"/>
      <c r="B4" s="425"/>
      <c r="C4" s="349" t="s">
        <v>384</v>
      </c>
      <c r="D4" s="349" t="s">
        <v>385</v>
      </c>
      <c r="E4" s="349" t="s">
        <v>386</v>
      </c>
      <c r="F4" s="350" t="s">
        <v>387</v>
      </c>
    </row>
    <row r="5" spans="1:6" x14ac:dyDescent="0.15">
      <c r="A5" s="351" t="s">
        <v>388</v>
      </c>
      <c r="B5" s="352"/>
      <c r="C5" s="353"/>
      <c r="D5" s="354"/>
      <c r="E5" s="354"/>
      <c r="F5" s="355"/>
    </row>
    <row r="6" spans="1:6" x14ac:dyDescent="0.15">
      <c r="A6" s="356" t="s">
        <v>389</v>
      </c>
      <c r="B6" s="357" t="s">
        <v>390</v>
      </c>
      <c r="C6" s="353"/>
      <c r="D6" s="354"/>
      <c r="E6" s="354"/>
      <c r="F6" s="358">
        <v>183</v>
      </c>
    </row>
    <row r="7" spans="1:6" x14ac:dyDescent="0.15">
      <c r="A7" s="360"/>
      <c r="B7" s="361" t="s">
        <v>391</v>
      </c>
      <c r="C7" s="362">
        <v>48</v>
      </c>
      <c r="D7" s="363">
        <v>0.125</v>
      </c>
      <c r="E7" s="364">
        <v>4.2599999999999999E-3</v>
      </c>
      <c r="F7" s="359">
        <v>39.700000000000003</v>
      </c>
    </row>
    <row r="8" spans="1:6" x14ac:dyDescent="0.15">
      <c r="A8" s="360"/>
      <c r="B8" s="361" t="s">
        <v>392</v>
      </c>
      <c r="C8" s="362">
        <v>56.7</v>
      </c>
      <c r="D8" s="363">
        <v>7.6700000000000004E-2</v>
      </c>
      <c r="E8" s="364">
        <v>3.2100000000000002E-3</v>
      </c>
      <c r="F8" s="359">
        <v>56.7</v>
      </c>
    </row>
    <row r="9" spans="1:6" x14ac:dyDescent="0.15">
      <c r="A9" s="360"/>
      <c r="B9" s="361" t="s">
        <v>393</v>
      </c>
      <c r="C9" s="362">
        <v>187</v>
      </c>
      <c r="D9" s="363">
        <v>0.123</v>
      </c>
      <c r="E9" s="364">
        <v>5.7999999999999996E-3</v>
      </c>
      <c r="F9" s="359">
        <v>119.2</v>
      </c>
    </row>
    <row r="10" spans="1:6" x14ac:dyDescent="0.15">
      <c r="A10" s="360"/>
      <c r="B10" s="361" t="s">
        <v>394</v>
      </c>
      <c r="C10" s="362">
        <v>109</v>
      </c>
      <c r="D10" s="363">
        <v>8.7099999999999997E-2</v>
      </c>
      <c r="E10" s="364">
        <v>4.0899999999999999E-3</v>
      </c>
      <c r="F10" s="359">
        <v>55.4</v>
      </c>
    </row>
    <row r="11" spans="1:6" x14ac:dyDescent="0.15">
      <c r="A11" s="360"/>
      <c r="B11" s="361" t="s">
        <v>395</v>
      </c>
      <c r="C11" s="362">
        <v>257</v>
      </c>
      <c r="D11" s="363">
        <v>0.20499999999999999</v>
      </c>
      <c r="E11" s="364">
        <v>4.8599999999999997E-3</v>
      </c>
      <c r="F11" s="359">
        <v>200.6</v>
      </c>
    </row>
    <row r="12" spans="1:6" x14ac:dyDescent="0.15">
      <c r="A12" s="360"/>
      <c r="B12" s="361" t="s">
        <v>396</v>
      </c>
      <c r="C12" s="362">
        <v>192</v>
      </c>
      <c r="D12" s="363">
        <v>0.121</v>
      </c>
      <c r="E12" s="364">
        <v>7.45E-3</v>
      </c>
      <c r="F12" s="359">
        <v>132.5</v>
      </c>
    </row>
    <row r="13" spans="1:6" x14ac:dyDescent="0.15">
      <c r="A13" s="360"/>
      <c r="B13" s="361" t="s">
        <v>397</v>
      </c>
      <c r="C13" s="362">
        <v>109</v>
      </c>
      <c r="D13" s="363">
        <v>0.17399999999999999</v>
      </c>
      <c r="E13" s="364">
        <v>9.0299999999999998E-3</v>
      </c>
      <c r="F13" s="359">
        <v>27.1</v>
      </c>
    </row>
    <row r="14" spans="1:6" x14ac:dyDescent="0.15">
      <c r="A14" s="360"/>
      <c r="B14" s="361" t="s">
        <v>398</v>
      </c>
      <c r="C14" s="362">
        <v>315</v>
      </c>
      <c r="D14" s="363">
        <v>0.1</v>
      </c>
      <c r="E14" s="364">
        <v>1.2699999999999999E-2</v>
      </c>
      <c r="F14" s="359">
        <v>139.80000000000001</v>
      </c>
    </row>
    <row r="15" spans="1:6" x14ac:dyDescent="0.15">
      <c r="A15" s="360"/>
      <c r="B15" s="361" t="s">
        <v>399</v>
      </c>
      <c r="C15" s="362">
        <v>56.9</v>
      </c>
      <c r="D15" s="363">
        <v>0.189</v>
      </c>
      <c r="E15" s="364">
        <v>7.7200000000000003E-3</v>
      </c>
      <c r="F15" s="359">
        <v>22.9</v>
      </c>
    </row>
    <row r="16" spans="1:6" x14ac:dyDescent="0.15">
      <c r="A16" s="360"/>
      <c r="B16" s="361" t="s">
        <v>400</v>
      </c>
      <c r="C16" s="362">
        <v>21.6</v>
      </c>
      <c r="D16" s="363">
        <v>3.3399999999999999E-2</v>
      </c>
      <c r="E16" s="364">
        <v>9.7799999999999992E-4</v>
      </c>
      <c r="F16" s="359">
        <v>19.600000000000001</v>
      </c>
    </row>
    <row r="17" spans="1:6" x14ac:dyDescent="0.15">
      <c r="A17" s="360"/>
      <c r="B17" s="361" t="s">
        <v>401</v>
      </c>
      <c r="C17" s="362">
        <v>163</v>
      </c>
      <c r="D17" s="363">
        <v>0.19800000000000001</v>
      </c>
      <c r="E17" s="364">
        <v>7.9299999999999995E-3</v>
      </c>
      <c r="F17" s="359">
        <v>99.3</v>
      </c>
    </row>
    <row r="18" spans="1:6" x14ac:dyDescent="0.15">
      <c r="A18" s="360"/>
      <c r="B18" s="361" t="s">
        <v>402</v>
      </c>
      <c r="C18" s="362">
        <v>238</v>
      </c>
      <c r="D18" s="363">
        <v>0.13200000000000001</v>
      </c>
      <c r="E18" s="364">
        <v>6.6100000000000004E-3</v>
      </c>
      <c r="F18" s="359">
        <v>125.2</v>
      </c>
    </row>
    <row r="19" spans="1:6" x14ac:dyDescent="0.15">
      <c r="A19" s="360"/>
      <c r="B19" s="361" t="s">
        <v>403</v>
      </c>
      <c r="C19" s="362">
        <v>115</v>
      </c>
      <c r="D19" s="363">
        <v>0.157</v>
      </c>
      <c r="E19" s="364">
        <v>4.8599999999999997E-3</v>
      </c>
      <c r="F19" s="359">
        <v>72.900000000000006</v>
      </c>
    </row>
    <row r="20" spans="1:6" x14ac:dyDescent="0.15">
      <c r="A20" s="360"/>
      <c r="B20" s="361" t="s">
        <v>404</v>
      </c>
      <c r="C20" s="362">
        <v>161</v>
      </c>
      <c r="D20" s="363">
        <v>6.7400000000000002E-2</v>
      </c>
      <c r="E20" s="364">
        <v>5.64E-3</v>
      </c>
      <c r="F20" s="359">
        <v>89.4</v>
      </c>
    </row>
    <row r="21" spans="1:6" x14ac:dyDescent="0.15">
      <c r="A21" s="360"/>
      <c r="B21" s="361" t="s">
        <v>405</v>
      </c>
      <c r="C21" s="362">
        <v>131</v>
      </c>
      <c r="D21" s="363">
        <v>0.23200000000000001</v>
      </c>
      <c r="E21" s="364">
        <v>5.0299999999999997E-3</v>
      </c>
      <c r="F21" s="359">
        <v>92.3</v>
      </c>
    </row>
    <row r="22" spans="1:6" x14ac:dyDescent="0.15">
      <c r="A22" s="360"/>
      <c r="B22" s="361" t="s">
        <v>406</v>
      </c>
      <c r="C22" s="362">
        <v>55.9</v>
      </c>
      <c r="D22" s="363">
        <v>0.18</v>
      </c>
      <c r="E22" s="364">
        <v>2.82E-3</v>
      </c>
      <c r="F22" s="359">
        <v>39.4</v>
      </c>
    </row>
    <row r="23" spans="1:6" x14ac:dyDescent="0.15">
      <c r="A23" s="360"/>
      <c r="B23" s="361" t="s">
        <v>407</v>
      </c>
      <c r="C23" s="362">
        <v>118</v>
      </c>
      <c r="D23" s="363">
        <v>0.34799999999999998</v>
      </c>
      <c r="E23" s="364">
        <v>3.6700000000000001E-3</v>
      </c>
      <c r="F23" s="359">
        <v>57.7</v>
      </c>
    </row>
    <row r="24" spans="1:6" x14ac:dyDescent="0.15">
      <c r="A24" s="360"/>
      <c r="B24" s="361" t="s">
        <v>408</v>
      </c>
      <c r="C24" s="362">
        <v>79</v>
      </c>
      <c r="D24" s="363">
        <v>0.13</v>
      </c>
      <c r="E24" s="364">
        <v>1.31E-3</v>
      </c>
      <c r="F24" s="359">
        <v>52</v>
      </c>
    </row>
    <row r="25" spans="1:6" x14ac:dyDescent="0.15">
      <c r="A25" s="360"/>
      <c r="B25" s="361" t="s">
        <v>409</v>
      </c>
      <c r="C25" s="362">
        <v>348</v>
      </c>
      <c r="D25" s="363">
        <v>0.27700000000000002</v>
      </c>
      <c r="E25" s="364">
        <v>6.0899999999999999E-3</v>
      </c>
      <c r="F25" s="359">
        <v>133.9</v>
      </c>
    </row>
    <row r="26" spans="1:6" x14ac:dyDescent="0.15">
      <c r="A26" s="360"/>
      <c r="B26" s="361" t="s">
        <v>410</v>
      </c>
      <c r="C26" s="362">
        <v>141</v>
      </c>
      <c r="D26" s="363">
        <v>0.159</v>
      </c>
      <c r="E26" s="364">
        <v>5.7499999999999999E-3</v>
      </c>
      <c r="F26" s="359">
        <v>99.9</v>
      </c>
    </row>
    <row r="27" spans="1:6" x14ac:dyDescent="0.15">
      <c r="A27" s="360"/>
      <c r="B27" s="361" t="s">
        <v>411</v>
      </c>
      <c r="C27" s="362">
        <v>270</v>
      </c>
      <c r="D27" s="363">
        <v>0.53200000000000003</v>
      </c>
      <c r="E27" s="364">
        <v>1.2500000000000001E-2</v>
      </c>
      <c r="F27" s="359">
        <v>196.5</v>
      </c>
    </row>
    <row r="28" spans="1:6" x14ac:dyDescent="0.15">
      <c r="A28" s="360"/>
      <c r="B28" s="361" t="s">
        <v>412</v>
      </c>
      <c r="C28" s="362">
        <v>133</v>
      </c>
      <c r="D28" s="363">
        <v>8.6199999999999999E-2</v>
      </c>
      <c r="E28" s="364">
        <v>7.2199999999999999E-3</v>
      </c>
      <c r="F28" s="359">
        <v>61.6</v>
      </c>
    </row>
    <row r="29" spans="1:6" x14ac:dyDescent="0.15">
      <c r="A29" s="360"/>
      <c r="B29" s="361" t="s">
        <v>413</v>
      </c>
      <c r="C29" s="362">
        <v>172</v>
      </c>
      <c r="D29" s="363">
        <v>0.127</v>
      </c>
      <c r="E29" s="364">
        <v>4.8300000000000001E-3</v>
      </c>
      <c r="F29" s="359">
        <v>86.1</v>
      </c>
    </row>
    <row r="30" spans="1:6" x14ac:dyDescent="0.15">
      <c r="A30" s="360"/>
      <c r="B30" s="361" t="s">
        <v>414</v>
      </c>
      <c r="C30" s="362">
        <v>65.900000000000006</v>
      </c>
      <c r="D30" s="363">
        <v>0.109</v>
      </c>
      <c r="E30" s="364">
        <v>3.3899999999999998E-3</v>
      </c>
      <c r="F30" s="359">
        <v>45.6</v>
      </c>
    </row>
    <row r="31" spans="1:6" x14ac:dyDescent="0.15">
      <c r="A31" s="360"/>
      <c r="B31" s="361" t="s">
        <v>415</v>
      </c>
      <c r="C31" s="362">
        <v>120</v>
      </c>
      <c r="D31" s="363">
        <v>3.7199999999999997E-2</v>
      </c>
      <c r="E31" s="364">
        <v>4.3400000000000001E-3</v>
      </c>
      <c r="F31" s="359">
        <v>70.099999999999994</v>
      </c>
    </row>
    <row r="32" spans="1:6" x14ac:dyDescent="0.15">
      <c r="A32" s="360"/>
      <c r="B32" s="361" t="s">
        <v>416</v>
      </c>
      <c r="C32" s="362">
        <v>102</v>
      </c>
      <c r="D32" s="363">
        <v>0.159</v>
      </c>
      <c r="E32" s="364">
        <v>3.8999999999999998E-3</v>
      </c>
      <c r="F32" s="359">
        <v>54.1</v>
      </c>
    </row>
    <row r="33" spans="1:6" x14ac:dyDescent="0.15">
      <c r="A33" s="365"/>
      <c r="B33" s="366" t="s">
        <v>417</v>
      </c>
      <c r="C33" s="367">
        <v>5.1100000000000003</v>
      </c>
      <c r="D33" s="368">
        <v>7.3800000000000003E-3</v>
      </c>
      <c r="E33" s="369">
        <v>2.7899999999999999E-3</v>
      </c>
      <c r="F33" s="370">
        <v>4.0999999999999996</v>
      </c>
    </row>
    <row r="35" spans="1:6" x14ac:dyDescent="0.15">
      <c r="B35" s="372" t="s">
        <v>419</v>
      </c>
    </row>
    <row r="36" spans="1:6" x14ac:dyDescent="0.15">
      <c r="B36" s="371" t="s">
        <v>418</v>
      </c>
    </row>
  </sheetData>
  <mergeCells count="1">
    <mergeCell ref="A2:B4"/>
  </mergeCells>
  <hyperlinks>
    <hyperlink ref="B36" r:id="rId1" display="https://ourworldindata.org/grapher/carbon-intensity-electricity" xr:uid="{66538696-93C6-40CB-A511-BF01299CE11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FBF4B0570C8944BFC933FF1D6D95A8" ma:contentTypeVersion="12" ma:contentTypeDescription="Een nieuw document maken." ma:contentTypeScope="" ma:versionID="7b23ff0d37535ffa944738443bd576bd">
  <xsd:schema xmlns:xsd="http://www.w3.org/2001/XMLSchema" xmlns:xs="http://www.w3.org/2001/XMLSchema" xmlns:p="http://schemas.microsoft.com/office/2006/metadata/properties" xmlns:ns2="87037488-ec5d-4aba-84c2-9b1d22638e8e" xmlns:ns3="a7196094-ab87-4309-9429-e0e22cec9996" xmlns:ns4="9a1a2be6-7d4b-4999-9f18-083da464f8f9" targetNamespace="http://schemas.microsoft.com/office/2006/metadata/properties" ma:root="true" ma:fieldsID="0c51358542fc15299407bb05ba3b505e" ns2:_="" ns3:_="" ns4:_="">
    <xsd:import namespace="87037488-ec5d-4aba-84c2-9b1d22638e8e"/>
    <xsd:import namespace="a7196094-ab87-4309-9429-e0e22cec9996"/>
    <xsd:import namespace="9a1a2be6-7d4b-4999-9f18-083da464f8f9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6df782c-9241-48a1-b1df-85e8ba235cf1}" ma:internalName="TaxCatchAll" ma:showField="CatchAllData" ma:web="9a1a2be6-7d4b-4999-9f18-083da464f8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6df782c-9241-48a1-b1df-85e8ba235cf1}" ma:internalName="TaxCatchAllLabel" ma:readOnly="true" ma:showField="CatchAllDataLabel" ma:web="9a1a2be6-7d4b-4999-9f18-083da464f8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196094-ab87-4309-9429-e0e22cec9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a2be6-7d4b-4999-9f18-083da464f8f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TaxCatchAll xmlns="87037488-ec5d-4aba-84c2-9b1d22638e8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bf472f7-a010-4b5a-bb99-a26ed4c99680" ContentTypeId="0x0101" PreviousValue="false"/>
</file>

<file path=customXml/itemProps1.xml><?xml version="1.0" encoding="utf-8"?>
<ds:datastoreItem xmlns:ds="http://schemas.openxmlformats.org/officeDocument/2006/customXml" ds:itemID="{12587D4A-5F93-4430-BD79-097C06100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a7196094-ab87-4309-9429-e0e22cec9996"/>
    <ds:schemaRef ds:uri="9a1a2be6-7d4b-4999-9f18-083da464f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CAB1A4-ED6C-46A5-92B5-00088A126F5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87037488-ec5d-4aba-84c2-9b1d22638e8e"/>
    <ds:schemaRef ds:uri="http://schemas.microsoft.com/office/infopath/2007/PartnerControls"/>
    <ds:schemaRef ds:uri="a7196094-ab87-4309-9429-e0e22cec999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BAD399-AEBB-49DF-904F-B66DEA77A4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4D997F-D2A7-44EE-B72B-7BD04EA8EE10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  <clbl:label id="{c135c4ba-2280-41f8-be7d-6f21d368baa3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Biomass Report</vt:lpstr>
      <vt:lpstr>BASIC DATA</vt:lpstr>
      <vt:lpstr>ENERGY</vt:lpstr>
      <vt:lpstr>GHG</vt:lpstr>
      <vt:lpstr>Electricity</vt:lpstr>
      <vt:lpstr>'BASIC DATA'!Print_Area</vt:lpstr>
      <vt:lpstr>'Biomass Report'!Print_Area</vt:lpstr>
      <vt:lpstr>ENERGY!Print_Area</vt:lpstr>
      <vt:lpstr>GHG!Print_Area</vt:lpstr>
    </vt:vector>
  </TitlesOfParts>
  <Company>SGS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Huyge Gwen</dc:creator>
  <cp:lastModifiedBy>Melanie Wedgbury</cp:lastModifiedBy>
  <cp:lastPrinted>2020-10-26T12:10:49Z</cp:lastPrinted>
  <dcterms:created xsi:type="dcterms:W3CDTF">2011-02-23T13:18:50Z</dcterms:created>
  <dcterms:modified xsi:type="dcterms:W3CDTF">2026-04-09T13:07:56Z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0x01010008FBF4B0570C8944BFC933FF1D6D95A8</vt:lpwstr>
  </property>
  <property fmtid="{D5CDD505-2E9C-101B-9397-08002B2CF9AE}" pid="3" name="Security Classification">
    <vt:lpwstr/>
  </property>
  <property fmtid="{D5CDD505-2E9C-101B-9397-08002B2CF9AE}" pid="4" name="MSIP_Label_c135c4ba-2280-41f8-be7d-6f21d368baa3_Enabled">
    <vt:lpwstr>true</vt:lpwstr>
  </property>
  <property fmtid="{D5CDD505-2E9C-101B-9397-08002B2CF9AE}" pid="5" name="MSIP_Label_c135c4ba-2280-41f8-be7d-6f21d368baa3_SetDate">
    <vt:lpwstr>2021-10-20T14:44:40Z</vt:lpwstr>
  </property>
  <property fmtid="{D5CDD505-2E9C-101B-9397-08002B2CF9AE}" pid="6" name="MSIP_Label_c135c4ba-2280-41f8-be7d-6f21d368baa3_Method">
    <vt:lpwstr>Standard</vt:lpwstr>
  </property>
  <property fmtid="{D5CDD505-2E9C-101B-9397-08002B2CF9AE}" pid="7" name="MSIP_Label_c135c4ba-2280-41f8-be7d-6f21d368baa3_Name">
    <vt:lpwstr>c135c4ba-2280-41f8-be7d-6f21d368baa3</vt:lpwstr>
  </property>
  <property fmtid="{D5CDD505-2E9C-101B-9397-08002B2CF9AE}" pid="8" name="MSIP_Label_c135c4ba-2280-41f8-be7d-6f21d368baa3_SiteId">
    <vt:lpwstr>24139d14-c62c-4c47-8bdd-ce71ea1d50cf</vt:lpwstr>
  </property>
  <property fmtid="{D5CDD505-2E9C-101B-9397-08002B2CF9AE}" pid="9" name="MSIP_Label_c135c4ba-2280-41f8-be7d-6f21d368baa3_ActionId">
    <vt:lpwstr>12c0e9fe-de2f-4bd1-933e-0ddd789cc997</vt:lpwstr>
  </property>
  <property fmtid="{D5CDD505-2E9C-101B-9397-08002B2CF9AE}" pid="10" name="MSIP_Label_c135c4ba-2280-41f8-be7d-6f21d368baa3_ContentBits">
    <vt:lpwstr>0</vt:lpwstr>
  </property>
</Properties>
</file>